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543" lockStructure="1"/>
  <bookViews>
    <workbookView xWindow="0" yWindow="90" windowWidth="1980" windowHeight="1170" activeTab="2"/>
  </bookViews>
  <sheets>
    <sheet name="Grunndata (hent S11-detalj art)" sheetId="1" r:id="rId1"/>
    <sheet name="Macro1" sheetId="5" state="veryHidden" r:id="rId2"/>
    <sheet name="Revidert prognosemal" sheetId="8" r:id="rId3"/>
    <sheet name="Pivot (refresh for å hente tal)" sheetId="12" r:id="rId4"/>
  </sheets>
  <definedNames>
    <definedName name="_xlnm.Auto_Open">Macro1!$C$1</definedName>
    <definedName name="Macro1">Macro1!$A$134</definedName>
    <definedName name="Macro10">Macro1!$A$1</definedName>
    <definedName name="Macro11">Macro1!$A$8</definedName>
    <definedName name="Macro12">Macro1!$A$15</definedName>
    <definedName name="Macro13">Macro1!$A$22</definedName>
    <definedName name="Macro14">Macro1!$A$29</definedName>
    <definedName name="Macro15">Macro1!$A$36</definedName>
    <definedName name="Macro16">Macro1!$A$142</definedName>
    <definedName name="Macro17">Macro1!$A$150</definedName>
    <definedName name="Macro18">Macro1!$A$201</definedName>
    <definedName name="Macro19">Macro1!$B$175</definedName>
    <definedName name="Macro2">Macro1!$A$74</definedName>
    <definedName name="Macro20">Macro1!$B$1</definedName>
    <definedName name="Macro21">Macro1!$B$8</definedName>
    <definedName name="Macro22">Macro1!$B$15</definedName>
    <definedName name="Macro23">Macro1!$B$22</definedName>
    <definedName name="Macro24">Macro1!$B$29</definedName>
    <definedName name="Macro25">Macro1!$B$36</definedName>
    <definedName name="Macro26">Macro1!$B$43</definedName>
    <definedName name="Macro27">Macro1!$B$50</definedName>
    <definedName name="Macro28">Macro1!$B$57</definedName>
    <definedName name="Macro29">Macro1!$B$64</definedName>
    <definedName name="Macro3">Macro1!$A$81</definedName>
    <definedName name="Macro30">Macro1!$B$71</definedName>
    <definedName name="Macro31">Macro1!$B$78</definedName>
    <definedName name="Macro32">Macro1!$B$85</definedName>
    <definedName name="Macro33">Macro1!$B$92</definedName>
    <definedName name="Macro34">Macro1!$B$99</definedName>
    <definedName name="Macro4">Macro1!$A$88</definedName>
    <definedName name="Macro5">Macro1!$A$95</definedName>
    <definedName name="Macro6">Macro1!$A$102</definedName>
    <definedName name="Macro7">Macro1!$A$109</definedName>
    <definedName name="Macro8">Macro1!$A$116</definedName>
    <definedName name="Macro9">Macro1!$A$123</definedName>
    <definedName name="Recover">Macro1!$A$130</definedName>
    <definedName name="TableName" localSheetId="1">"PivotTable1"</definedName>
    <definedName name="TableName">"Dummy"</definedName>
  </definedNames>
  <calcPr calcId="145621"/>
  <pivotCaches>
    <pivotCache cacheId="0" r:id="rId5"/>
  </pivotCaches>
</workbook>
</file>

<file path=xl/calcChain.xml><?xml version="1.0" encoding="utf-8"?>
<calcChain xmlns="http://schemas.openxmlformats.org/spreadsheetml/2006/main">
  <c r="G5" i="8" l="1"/>
  <c r="E5" i="8"/>
  <c r="D5" i="8"/>
  <c r="D4" i="8"/>
  <c r="F4" i="8" s="1"/>
  <c r="H4" i="8" s="1"/>
  <c r="E3" i="8"/>
  <c r="E6" i="8" s="1"/>
  <c r="D3" i="8"/>
  <c r="G28" i="8"/>
  <c r="G31" i="8"/>
  <c r="E64" i="8"/>
  <c r="D64" i="8"/>
  <c r="D63" i="8"/>
  <c r="F63" i="8" s="1"/>
  <c r="H63" i="8" s="1"/>
  <c r="E62" i="8"/>
  <c r="D62" i="8"/>
  <c r="G64" i="8"/>
  <c r="E60" i="8"/>
  <c r="D60" i="8"/>
  <c r="D59" i="8"/>
  <c r="F59" i="8" s="1"/>
  <c r="H59" i="8" s="1"/>
  <c r="E58" i="8"/>
  <c r="D58" i="8"/>
  <c r="G60" i="8"/>
  <c r="E56" i="8"/>
  <c r="D56" i="8"/>
  <c r="D55" i="8"/>
  <c r="F55" i="8" s="1"/>
  <c r="H55" i="8" s="1"/>
  <c r="E54" i="8"/>
  <c r="D54" i="8"/>
  <c r="G56" i="8"/>
  <c r="E52" i="8"/>
  <c r="D52" i="8"/>
  <c r="D51" i="8"/>
  <c r="F51" i="8" s="1"/>
  <c r="H51" i="8" s="1"/>
  <c r="E50" i="8"/>
  <c r="D50" i="8"/>
  <c r="G52" i="8"/>
  <c r="D48" i="8"/>
  <c r="E48" i="8"/>
  <c r="E46" i="8"/>
  <c r="D47" i="8"/>
  <c r="F47" i="8" s="1"/>
  <c r="H47" i="8" s="1"/>
  <c r="D46" i="8"/>
  <c r="G48" i="8"/>
  <c r="E44" i="8"/>
  <c r="D44" i="8"/>
  <c r="D43" i="8"/>
  <c r="F43" i="8" s="1"/>
  <c r="H43" i="8" s="1"/>
  <c r="E42" i="8"/>
  <c r="D42" i="8"/>
  <c r="G44" i="8"/>
  <c r="E40" i="8"/>
  <c r="D40" i="8"/>
  <c r="D39" i="8"/>
  <c r="F39" i="8" s="1"/>
  <c r="H39" i="8" s="1"/>
  <c r="E38" i="8"/>
  <c r="D38" i="8"/>
  <c r="G40" i="8"/>
  <c r="E37" i="8"/>
  <c r="D37" i="8"/>
  <c r="E35" i="8"/>
  <c r="E30" i="8" s="1"/>
  <c r="D35" i="8"/>
  <c r="D30" i="8" s="1"/>
  <c r="D34" i="8"/>
  <c r="F34" i="8" s="1"/>
  <c r="H34" i="8" s="1"/>
  <c r="H29" i="8" s="1"/>
  <c r="E33" i="8"/>
  <c r="D33" i="8"/>
  <c r="D28" i="8" s="1"/>
  <c r="G35" i="8"/>
  <c r="G30" i="8" s="1"/>
  <c r="G17" i="8"/>
  <c r="G14" i="8"/>
  <c r="E25" i="8"/>
  <c r="D25" i="8"/>
  <c r="D24" i="8"/>
  <c r="F24" i="8" s="1"/>
  <c r="H24" i="8" s="1"/>
  <c r="E23" i="8"/>
  <c r="D23" i="8"/>
  <c r="G25" i="8"/>
  <c r="E21" i="8"/>
  <c r="E10" i="8"/>
  <c r="D21" i="8"/>
  <c r="D20" i="8"/>
  <c r="F20" i="8" s="1"/>
  <c r="H20" i="8" s="1"/>
  <c r="E19" i="8"/>
  <c r="D19" i="8"/>
  <c r="G21" i="8"/>
  <c r="D10" i="8"/>
  <c r="D9" i="8"/>
  <c r="E12" i="8"/>
  <c r="E8" i="8"/>
  <c r="G10" i="8"/>
  <c r="E28" i="8" l="1"/>
  <c r="G16" i="8"/>
  <c r="H15" i="8"/>
  <c r="F5" i="8"/>
  <c r="H5" i="8" s="1"/>
  <c r="F3" i="8"/>
  <c r="F6" i="8" s="1"/>
  <c r="H6" i="8" s="1"/>
  <c r="D6" i="8"/>
  <c r="F29" i="8"/>
  <c r="D29" i="8"/>
  <c r="F64" i="8"/>
  <c r="H64" i="8" s="1"/>
  <c r="F62" i="8"/>
  <c r="H62" i="8" s="1"/>
  <c r="E65" i="8"/>
  <c r="D65" i="8"/>
  <c r="F60" i="8"/>
  <c r="H60" i="8" s="1"/>
  <c r="F58" i="8"/>
  <c r="H58" i="8" s="1"/>
  <c r="E61" i="8"/>
  <c r="D61" i="8"/>
  <c r="F56" i="8"/>
  <c r="H56" i="8" s="1"/>
  <c r="F54" i="8"/>
  <c r="H54" i="8" s="1"/>
  <c r="E57" i="8"/>
  <c r="D57" i="8"/>
  <c r="F52" i="8"/>
  <c r="H52" i="8" s="1"/>
  <c r="F50" i="8"/>
  <c r="H50" i="8" s="1"/>
  <c r="E53" i="8"/>
  <c r="D53" i="8"/>
  <c r="F48" i="8"/>
  <c r="H48" i="8" s="1"/>
  <c r="E49" i="8"/>
  <c r="F46" i="8"/>
  <c r="H46" i="8" s="1"/>
  <c r="D49" i="8"/>
  <c r="F42" i="8"/>
  <c r="F44" i="8"/>
  <c r="H44" i="8" s="1"/>
  <c r="E45" i="8"/>
  <c r="D45" i="8"/>
  <c r="F40" i="8"/>
  <c r="H40" i="8" s="1"/>
  <c r="F38" i="8"/>
  <c r="H38" i="8" s="1"/>
  <c r="E41" i="8"/>
  <c r="D41" i="8"/>
  <c r="F35" i="8"/>
  <c r="F33" i="8"/>
  <c r="D16" i="8"/>
  <c r="E36" i="8"/>
  <c r="F37" i="8"/>
  <c r="H37" i="8" s="1"/>
  <c r="D36" i="8"/>
  <c r="E14" i="8"/>
  <c r="D14" i="8"/>
  <c r="E16" i="8"/>
  <c r="F15" i="8"/>
  <c r="D15" i="8"/>
  <c r="F25" i="8"/>
  <c r="H25" i="8" s="1"/>
  <c r="F23" i="8"/>
  <c r="H23" i="8" s="1"/>
  <c r="E26" i="8"/>
  <c r="D26" i="8"/>
  <c r="E22" i="8"/>
  <c r="F21" i="8"/>
  <c r="F19" i="8"/>
  <c r="D22" i="8"/>
  <c r="H3" i="8" l="1"/>
  <c r="E31" i="8"/>
  <c r="D31" i="8"/>
  <c r="F28" i="8"/>
  <c r="H35" i="8"/>
  <c r="H30" i="8" s="1"/>
  <c r="F30" i="8"/>
  <c r="F65" i="8"/>
  <c r="H65" i="8" s="1"/>
  <c r="F61" i="8"/>
  <c r="H61" i="8" s="1"/>
  <c r="F57" i="8"/>
  <c r="H57" i="8" s="1"/>
  <c r="F53" i="8"/>
  <c r="H53" i="8" s="1"/>
  <c r="F36" i="8"/>
  <c r="F49" i="8"/>
  <c r="H49" i="8" s="1"/>
  <c r="F45" i="8"/>
  <c r="H45" i="8" s="1"/>
  <c r="H42" i="8"/>
  <c r="H33" i="8"/>
  <c r="H28" i="8" s="1"/>
  <c r="D17" i="8"/>
  <c r="F41" i="8"/>
  <c r="H41" i="8" s="1"/>
  <c r="E17" i="8"/>
  <c r="H21" i="8"/>
  <c r="H16" i="8" s="1"/>
  <c r="F16" i="8"/>
  <c r="H19" i="8"/>
  <c r="H14" i="8" s="1"/>
  <c r="F14" i="8"/>
  <c r="F26" i="8"/>
  <c r="H26" i="8" s="1"/>
  <c r="F22" i="8"/>
  <c r="H36" i="8" l="1"/>
  <c r="H31" i="8" s="1"/>
  <c r="F31" i="8"/>
  <c r="H22" i="8"/>
  <c r="H17" i="8" s="1"/>
  <c r="F17" i="8"/>
  <c r="E11" i="8"/>
  <c r="F10" i="8"/>
  <c r="H10" i="8" s="1"/>
  <c r="D12" i="8" l="1"/>
  <c r="F12" i="8" s="1"/>
  <c r="H12" i="8" s="1"/>
  <c r="F9" i="8"/>
  <c r="H9" i="8" s="1"/>
  <c r="D8" i="8"/>
  <c r="F8" i="8" l="1"/>
  <c r="D11" i="8"/>
  <c r="H8" i="8" l="1"/>
  <c r="F11" i="8"/>
  <c r="H11" i="8" s="1"/>
</calcChain>
</file>

<file path=xl/sharedStrings.xml><?xml version="1.0" encoding="utf-8"?>
<sst xmlns="http://schemas.openxmlformats.org/spreadsheetml/2006/main" count="157" uniqueCount="130">
  <si>
    <t>Faknavn</t>
  </si>
  <si>
    <t>A-sted</t>
  </si>
  <si>
    <t>K-stednavn</t>
  </si>
  <si>
    <t>Finansieringskilde</t>
  </si>
  <si>
    <t>Prosjektnavn:</t>
  </si>
  <si>
    <t>Analysenavn:</t>
  </si>
  <si>
    <t>Motpart</t>
  </si>
  <si>
    <t>Ta bort null-rader</t>
  </si>
  <si>
    <t xml:space="preserve"> </t>
  </si>
  <si>
    <t>I/K</t>
  </si>
  <si>
    <t>Artsklasse</t>
  </si>
  <si>
    <t>Artsgruppe</t>
  </si>
  <si>
    <t>Art</t>
  </si>
  <si>
    <t>Denne måned - budsjett</t>
  </si>
  <si>
    <t>Denne måned - regnskap</t>
  </si>
  <si>
    <t>Denne måned - avvik</t>
  </si>
  <si>
    <t xml:space="preserve">Denne måned - avvik % </t>
  </si>
  <si>
    <t>Hittil i år - budsjett</t>
  </si>
  <si>
    <t>Hittil i år - regnskap</t>
  </si>
  <si>
    <t>Hittil i år - avvik</t>
  </si>
  <si>
    <t>Hittil i  år - avvik i %</t>
  </si>
  <si>
    <t>Årsbudsjett</t>
  </si>
  <si>
    <t>4. Annen bidragsaktivitet</t>
  </si>
  <si>
    <t>3. EU - bidragsaktivitet</t>
  </si>
  <si>
    <t>Macro10</t>
  </si>
  <si>
    <t>Macro11</t>
  </si>
  <si>
    <t>Macro12</t>
  </si>
  <si>
    <t>Macro13</t>
  </si>
  <si>
    <t>Macro14</t>
  </si>
  <si>
    <t>Macro15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</si>
  <si>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</si>
  <si>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</si>
  <si>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</si>
  <si>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</si>
  <si>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</si>
  <si>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</si>
  <si>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</si>
  <si>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</si>
  <si>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</si>
  <si>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Macro1</t>
  </si>
  <si>
    <t>Macro16</t>
  </si>
  <si>
    <t>Macro17</t>
  </si>
  <si>
    <t>Macro18</t>
  </si>
  <si>
    <t>Macro20</t>
  </si>
  <si>
    <t>Macro21</t>
  </si>
  <si>
    <t>Macro22</t>
  </si>
  <si>
    <t>Macro23</t>
  </si>
  <si>
    <t>Macro24</t>
  </si>
  <si>
    <t>Macro25</t>
  </si>
  <si>
    <t>Macro26</t>
  </si>
  <si>
    <t>Macro27</t>
  </si>
  <si>
    <t>Macro28</t>
  </si>
  <si>
    <t>Macro29</t>
  </si>
  <si>
    <t>Macro30</t>
  </si>
  <si>
    <t>Macro31</t>
  </si>
  <si>
    <t>Macro32</t>
  </si>
  <si>
    <t>Macro33</t>
  </si>
  <si>
    <t>Macro34</t>
  </si>
  <si>
    <t>Macro19</t>
  </si>
  <si>
    <t>Auto_åpne</t>
  </si>
  <si>
    <t xml:space="preserve"> _1</t>
  </si>
  <si>
    <t xml:space="preserve"> _2</t>
  </si>
  <si>
    <t>Prognose</t>
  </si>
  <si>
    <t>Kommentar</t>
  </si>
  <si>
    <t>Innbetalinger (art 3400)</t>
  </si>
  <si>
    <t>Overført til neste periode* (art 3404)</t>
  </si>
  <si>
    <t>Aktivitet (= inntekter = kostnader)</t>
  </si>
  <si>
    <t>herav:</t>
  </si>
  <si>
    <t>Innbetalinger (art 3420)</t>
  </si>
  <si>
    <t>Overført til neste periode* (art 3424)</t>
  </si>
  <si>
    <t>Innbetalinger (art 3425)</t>
  </si>
  <si>
    <t>Overført til neste periode* (art 3429)</t>
  </si>
  <si>
    <t>Innbetalinger (art 3030, art 3130 og art 3230)</t>
  </si>
  <si>
    <t>Overført til neste periode* (art 3244)</t>
  </si>
  <si>
    <t>Innbetalinger</t>
  </si>
  <si>
    <t>Overført til neste periode*</t>
  </si>
  <si>
    <t>Innbetalinger (art 3410)</t>
  </si>
  <si>
    <t>Overført til neste periode* (art 3414)</t>
  </si>
  <si>
    <t>Kommunal og fylkeskommunal finansiering</t>
  </si>
  <si>
    <t>Innbetalinger (art 3430)</t>
  </si>
  <si>
    <t>Overført til neste periode* (art 3434)</t>
  </si>
  <si>
    <t>Innbetalinger (art 3460)</t>
  </si>
  <si>
    <t>Overført til neste periode* (art 3464)</t>
  </si>
  <si>
    <t>Innbetalinger (art 3465)</t>
  </si>
  <si>
    <t>Overført til neste periode* (art 3469)</t>
  </si>
  <si>
    <t>Innbetalinger (art 3450)</t>
  </si>
  <si>
    <t>Overført til neste periode* (art 3454)</t>
  </si>
  <si>
    <t>Innbetalinger (art 3490)</t>
  </si>
  <si>
    <t>Overført til neste periode* (art 3494)</t>
  </si>
  <si>
    <t>Gjennomstrømmingsmidlar (art 8732)</t>
  </si>
  <si>
    <t>Gjennomstrømmingsmidlar (art 8731)</t>
  </si>
  <si>
    <t>(All)</t>
  </si>
  <si>
    <t>Row Labels</t>
  </si>
  <si>
    <t>Grand Total</t>
  </si>
  <si>
    <t>Sum of Hittil i år - regnskap</t>
  </si>
  <si>
    <t>Sum of Årsbudsjett</t>
  </si>
  <si>
    <t>Sum of Hittil i år - budsjett</t>
  </si>
  <si>
    <t>Overført fra forrige år (art 3403)</t>
  </si>
  <si>
    <t>Overført fra forrige år (art 3423)</t>
  </si>
  <si>
    <t>Overført fra forrige år (art 3428)</t>
  </si>
  <si>
    <t>Overført fra forrige år (art 3243)</t>
  </si>
  <si>
    <t>Overført fra forrige år</t>
  </si>
  <si>
    <t>Overført fra forrige år (art 3413)</t>
  </si>
  <si>
    <t>Overført fra forrige år (art 3433)</t>
  </si>
  <si>
    <t>Overført fra forrige år (art 3463)</t>
  </si>
  <si>
    <t>Overført fra forrige år (art 3468)</t>
  </si>
  <si>
    <t>Overført fra forrige år (art 3453)</t>
  </si>
  <si>
    <t>Overført fra forrige år (art 3493)</t>
  </si>
  <si>
    <t>**Periodiseringsprosjekter er inkludert der det er relevant.</t>
  </si>
  <si>
    <t>*Overført til neste periode inkluderer både saldering per måned og overføring til neste år.</t>
  </si>
  <si>
    <t>Regnskapsført
hittil i år</t>
  </si>
  <si>
    <t>Budsjettert for
resten av året</t>
  </si>
  <si>
    <t>Sum
(teknisk prognose)</t>
  </si>
  <si>
    <t>Forhold som
kommer i tillegg</t>
  </si>
  <si>
    <t>1. Oppdragsaktivitet (100005**)</t>
  </si>
  <si>
    <t>2. NFR - bidragsaktivitet (199995**)</t>
  </si>
  <si>
    <t>EU rammeprogram for forskning (639995**)</t>
  </si>
  <si>
    <t>EU Andre bidrag (639994)</t>
  </si>
  <si>
    <t>(299995**)</t>
  </si>
  <si>
    <t>Statlig finansiering (219995**)</t>
  </si>
  <si>
    <t>Organisasjoner (399995**)</t>
  </si>
  <si>
    <t>Innbetalinger (art 3440)</t>
  </si>
  <si>
    <t>Overført fra forrige år (art 3443)</t>
  </si>
  <si>
    <t>Overført til neste periode* (art 3444)</t>
  </si>
  <si>
    <t>Stiftelser (599995**)</t>
  </si>
  <si>
    <t>Gaver (469995**)</t>
  </si>
  <si>
    <t>Gaveforsterkning (469994)</t>
  </si>
  <si>
    <t>Næringsliv/privat (499995**)</t>
  </si>
  <si>
    <t>Andre (699995**)</t>
  </si>
  <si>
    <t>(Multiple Items)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</si>
</sst>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,###,###,###,###,###,###,###,###,###,###,###,##0"/>
    <numFmt numFmtId="165" formatCode="#,###,###,##0"/>
    <numFmt numFmtId="166" formatCode="#####################################0.0%"/>
  </numFmts>
  <fonts count="9" x14ac:knownFonts="1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i/>
      <sz val="10"/>
      <color theme="0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medium">
        <color indexed="64"/>
      </left>
      <right style="thin">
        <color theme="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/>
    <xf numFmtId="165" fontId="1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166" fontId="1" fillId="0" borderId="0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Border="1" applyAlignment="1">
      <alignment horizontal="right" vertical="top"/>
    </xf>
    <xf numFmtId="3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Protection="1">
      <protection locked="0"/>
    </xf>
    <xf numFmtId="3" fontId="6" fillId="4" borderId="5" xfId="0" applyNumberFormat="1" applyFont="1" applyFill="1" applyBorder="1" applyProtection="1">
      <protection locked="0"/>
    </xf>
    <xf numFmtId="3" fontId="0" fillId="5" borderId="5" xfId="0" applyNumberFormat="1" applyFont="1" applyFill="1" applyBorder="1" applyProtection="1">
      <protection locked="0"/>
    </xf>
    <xf numFmtId="3" fontId="3" fillId="5" borderId="13" xfId="0" applyNumberFormat="1" applyFont="1" applyFill="1" applyBorder="1" applyProtection="1">
      <protection locked="0"/>
    </xf>
    <xf numFmtId="0" fontId="6" fillId="4" borderId="5" xfId="0" applyFont="1" applyFill="1" applyBorder="1" applyProtection="1">
      <protection locked="0"/>
    </xf>
    <xf numFmtId="3" fontId="7" fillId="5" borderId="5" xfId="0" applyNumberFormat="1" applyFont="1" applyFill="1" applyBorder="1" applyProtection="1">
      <protection locked="0"/>
    </xf>
    <xf numFmtId="3" fontId="7" fillId="5" borderId="10" xfId="0" applyNumberFormat="1" applyFont="1" applyFill="1" applyBorder="1" applyProtection="1">
      <protection locked="0"/>
    </xf>
    <xf numFmtId="3" fontId="7" fillId="5" borderId="13" xfId="0" applyNumberFormat="1" applyFont="1" applyFill="1" applyBorder="1" applyProtection="1">
      <protection locked="0"/>
    </xf>
    <xf numFmtId="0" fontId="0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0" fillId="5" borderId="0" xfId="0" applyFill="1" applyProtection="1">
      <protection locked="0"/>
    </xf>
    <xf numFmtId="0" fontId="3" fillId="5" borderId="2" xfId="0" applyFont="1" applyFill="1" applyBorder="1" applyProtection="1">
      <protection locked="0"/>
    </xf>
    <xf numFmtId="0" fontId="7" fillId="5" borderId="0" xfId="0" applyFont="1" applyFill="1" applyProtection="1">
      <protection locked="0"/>
    </xf>
    <xf numFmtId="0" fontId="7" fillId="5" borderId="1" xfId="0" applyFont="1" applyFill="1" applyBorder="1" applyProtection="1">
      <protection locked="0"/>
    </xf>
    <xf numFmtId="0" fontId="7" fillId="5" borderId="0" xfId="0" applyFont="1" applyFill="1" applyBorder="1" applyProtection="1">
      <protection locked="0"/>
    </xf>
    <xf numFmtId="0" fontId="7" fillId="5" borderId="2" xfId="0" applyFont="1" applyFill="1" applyBorder="1" applyProtection="1">
      <protection locked="0"/>
    </xf>
    <xf numFmtId="0" fontId="4" fillId="4" borderId="0" xfId="0" applyFont="1" applyFill="1" applyProtection="1"/>
    <xf numFmtId="0" fontId="3" fillId="0" borderId="18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vertical="center"/>
    </xf>
    <xf numFmtId="0" fontId="5" fillId="0" borderId="0" xfId="0" applyFont="1" applyProtection="1"/>
    <xf numFmtId="0" fontId="8" fillId="0" borderId="0" xfId="0" applyFont="1" applyProtection="1"/>
    <xf numFmtId="0" fontId="0" fillId="0" borderId="17" xfId="0" applyBorder="1" applyProtection="1"/>
    <xf numFmtId="0" fontId="0" fillId="0" borderId="18" xfId="0" applyBorder="1" applyProtection="1"/>
    <xf numFmtId="0" fontId="6" fillId="4" borderId="0" xfId="0" applyFont="1" applyFill="1" applyProtection="1"/>
    <xf numFmtId="0" fontId="6" fillId="4" borderId="6" xfId="0" applyFont="1" applyFill="1" applyBorder="1" applyProtection="1"/>
    <xf numFmtId="3" fontId="6" fillId="4" borderId="6" xfId="0" applyNumberFormat="1" applyFont="1" applyFill="1" applyBorder="1" applyProtection="1"/>
    <xf numFmtId="3" fontId="6" fillId="4" borderId="7" xfId="0" applyNumberFormat="1" applyFont="1" applyFill="1" applyBorder="1" applyProtection="1"/>
    <xf numFmtId="3" fontId="6" fillId="4" borderId="0" xfId="0" applyNumberFormat="1" applyFont="1" applyFill="1" applyProtection="1"/>
    <xf numFmtId="0" fontId="0" fillId="0" borderId="6" xfId="0" applyBorder="1" applyProtection="1"/>
    <xf numFmtId="3" fontId="0" fillId="0" borderId="6" xfId="0" applyNumberFormat="1" applyBorder="1" applyProtection="1"/>
    <xf numFmtId="3" fontId="0" fillId="0" borderId="7" xfId="0" applyNumberFormat="1" applyBorder="1" applyProtection="1"/>
    <xf numFmtId="3" fontId="0" fillId="0" borderId="0" xfId="0" applyNumberFormat="1" applyProtection="1"/>
    <xf numFmtId="3" fontId="0" fillId="2" borderId="7" xfId="0" applyNumberFormat="1" applyFill="1" applyBorder="1" applyProtection="1"/>
    <xf numFmtId="0" fontId="3" fillId="0" borderId="11" xfId="0" applyFont="1" applyFill="1" applyBorder="1" applyProtection="1"/>
    <xf numFmtId="3" fontId="3" fillId="0" borderId="11" xfId="0" applyNumberFormat="1" applyFont="1" applyFill="1" applyBorder="1" applyProtection="1"/>
    <xf numFmtId="3" fontId="3" fillId="0" borderId="12" xfId="0" applyNumberFormat="1" applyFont="1" applyFill="1" applyBorder="1" applyProtection="1"/>
    <xf numFmtId="3" fontId="3" fillId="0" borderId="2" xfId="0" applyNumberFormat="1" applyFont="1" applyFill="1" applyBorder="1" applyProtection="1"/>
    <xf numFmtId="0" fontId="6" fillId="4" borderId="7" xfId="0" applyFont="1" applyFill="1" applyBorder="1" applyProtection="1"/>
    <xf numFmtId="0" fontId="0" fillId="0" borderId="6" xfId="0" applyFill="1" applyBorder="1" applyProtection="1"/>
    <xf numFmtId="0" fontId="7" fillId="0" borderId="6" xfId="0" applyFont="1" applyBorder="1" applyProtection="1"/>
    <xf numFmtId="3" fontId="7" fillId="0" borderId="6" xfId="0" applyNumberFormat="1" applyFont="1" applyBorder="1" applyProtection="1"/>
    <xf numFmtId="3" fontId="7" fillId="0" borderId="7" xfId="0" applyNumberFormat="1" applyFont="1" applyBorder="1" applyProtection="1"/>
    <xf numFmtId="3" fontId="7" fillId="0" borderId="0" xfId="0" applyNumberFormat="1" applyFont="1" applyProtection="1"/>
    <xf numFmtId="3" fontId="7" fillId="2" borderId="7" xfId="0" applyNumberFormat="1" applyFont="1" applyFill="1" applyBorder="1" applyProtection="1"/>
    <xf numFmtId="0" fontId="7" fillId="0" borderId="8" xfId="0" applyFont="1" applyFill="1" applyBorder="1" applyProtection="1"/>
    <xf numFmtId="3" fontId="7" fillId="0" borderId="8" xfId="0" applyNumberFormat="1" applyFont="1" applyFill="1" applyBorder="1" applyProtection="1"/>
    <xf numFmtId="3" fontId="7" fillId="0" borderId="9" xfId="0" applyNumberFormat="1" applyFont="1" applyFill="1" applyBorder="1" applyProtection="1"/>
    <xf numFmtId="3" fontId="7" fillId="0" borderId="1" xfId="0" applyNumberFormat="1" applyFont="1" applyFill="1" applyBorder="1" applyProtection="1"/>
    <xf numFmtId="3" fontId="7" fillId="0" borderId="0" xfId="0" applyNumberFormat="1" applyFont="1" applyBorder="1" applyProtection="1"/>
    <xf numFmtId="0" fontId="7" fillId="0" borderId="6" xfId="0" applyFont="1" applyFill="1" applyBorder="1" applyProtection="1"/>
    <xf numFmtId="0" fontId="5" fillId="0" borderId="0" xfId="0" applyFont="1" applyBorder="1" applyProtection="1"/>
    <xf numFmtId="0" fontId="5" fillId="0" borderId="3" xfId="0" applyFont="1" applyBorder="1" applyProtection="1"/>
    <xf numFmtId="0" fontId="7" fillId="0" borderId="11" xfId="0" applyFont="1" applyFill="1" applyBorder="1" applyProtection="1"/>
    <xf numFmtId="3" fontId="7" fillId="0" borderId="11" xfId="0" applyNumberFormat="1" applyFont="1" applyFill="1" applyBorder="1" applyProtection="1"/>
    <xf numFmtId="3" fontId="7" fillId="0" borderId="12" xfId="0" applyNumberFormat="1" applyFont="1" applyFill="1" applyBorder="1" applyProtection="1"/>
    <xf numFmtId="3" fontId="7" fillId="0" borderId="2" xfId="0" applyNumberFormat="1" applyFont="1" applyFill="1" applyBorder="1" applyProtection="1"/>
    <xf numFmtId="3" fontId="6" fillId="4" borderId="14" xfId="0" applyNumberFormat="1" applyFont="1" applyFill="1" applyBorder="1" applyProtection="1"/>
    <xf numFmtId="3" fontId="0" fillId="0" borderId="14" xfId="0" applyNumberFormat="1" applyBorder="1" applyProtection="1"/>
    <xf numFmtId="3" fontId="3" fillId="0" borderId="15" xfId="0" applyNumberFormat="1" applyFont="1" applyFill="1" applyBorder="1" applyProtection="1"/>
    <xf numFmtId="0" fontId="6" fillId="4" borderId="14" xfId="0" applyFont="1" applyFill="1" applyBorder="1" applyProtection="1"/>
    <xf numFmtId="3" fontId="7" fillId="0" borderId="14" xfId="0" applyNumberFormat="1" applyFont="1" applyBorder="1" applyProtection="1"/>
    <xf numFmtId="3" fontId="7" fillId="0" borderId="16" xfId="0" applyNumberFormat="1" applyFont="1" applyFill="1" applyBorder="1" applyProtection="1"/>
    <xf numFmtId="3" fontId="7" fillId="0" borderId="15" xfId="0" applyNumberFormat="1" applyFont="1" applyFill="1" applyBorder="1" applyProtection="1"/>
    <xf numFmtId="3" fontId="7" fillId="2" borderId="5" xfId="0" applyNumberFormat="1" applyFont="1" applyFill="1" applyBorder="1" applyProtection="1"/>
    <xf numFmtId="3" fontId="7" fillId="0" borderId="5" xfId="0" applyNumberFormat="1" applyFont="1" applyBorder="1" applyProtection="1"/>
    <xf numFmtId="3" fontId="0" fillId="0" borderId="5" xfId="0" applyNumberFormat="1" applyFont="1" applyBorder="1" applyProtection="1"/>
    <xf numFmtId="3" fontId="0" fillId="2" borderId="5" xfId="0" applyNumberFormat="1" applyFont="1" applyFill="1" applyBorder="1" applyProtection="1"/>
    <xf numFmtId="3" fontId="3" fillId="0" borderId="13" xfId="0" applyNumberFormat="1" applyFont="1" applyFill="1" applyBorder="1" applyProtection="1"/>
    <xf numFmtId="0" fontId="7" fillId="2" borderId="0" xfId="0" applyFont="1" applyFill="1" applyBorder="1" applyProtection="1"/>
    <xf numFmtId="0" fontId="7" fillId="2" borderId="0" xfId="0" applyFont="1" applyFill="1" applyProtection="1"/>
    <xf numFmtId="0" fontId="0" fillId="2" borderId="0" xfId="0" applyFill="1" applyProtection="1"/>
    <xf numFmtId="0" fontId="5" fillId="3" borderId="0" xfId="0" applyFont="1" applyFill="1" applyProtection="1"/>
    <xf numFmtId="0" fontId="7" fillId="3" borderId="6" xfId="0" applyFont="1" applyFill="1" applyBorder="1" applyProtection="1"/>
    <xf numFmtId="3" fontId="7" fillId="3" borderId="6" xfId="0" applyNumberFormat="1" applyFont="1" applyFill="1" applyBorder="1" applyProtection="1"/>
    <xf numFmtId="3" fontId="7" fillId="3" borderId="7" xfId="0" applyNumberFormat="1" applyFont="1" applyFill="1" applyBorder="1" applyProtection="1"/>
    <xf numFmtId="3" fontId="7" fillId="3" borderId="0" xfId="0" applyNumberFormat="1" applyFont="1" applyFill="1" applyProtection="1"/>
    <xf numFmtId="3" fontId="7" fillId="3" borderId="5" xfId="0" applyNumberFormat="1" applyFont="1" applyFill="1" applyBorder="1" applyProtection="1"/>
    <xf numFmtId="3" fontId="7" fillId="3" borderId="14" xfId="0" applyNumberFormat="1" applyFont="1" applyFill="1" applyBorder="1" applyProtection="1"/>
    <xf numFmtId="0" fontId="7" fillId="3" borderId="0" xfId="0" applyFont="1" applyFill="1" applyProtection="1"/>
  </cellXfs>
  <cellStyles count="1">
    <cellStyle name="Normal" xfId="0" builtinId="0"/>
  </cellStyles>
  <dxfs count="30"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#,###,###,##0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####################################0.0%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#,###,###,###,###,###,###,###,###,###,###,###,##0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#,###,###,##0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#,###,###,##0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####################################0.0%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#,###,###,###,###,###,###,###,###,###,###,###,##0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#,###,###,##0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#,###,###,##0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border outline="0">
        <top style="thin">
          <color indexed="8"/>
        </top>
      </border>
    </dxf>
    <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FFDEB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lene Rødseth" refreshedDate="42131.470914699072" createdVersion="4" refreshedVersion="4" minRefreshableVersion="3" recordCount="1">
  <cacheSource type="worksheet">
    <worksheetSource name="Table1"/>
  </cacheSource>
  <cacheFields count="24">
    <cacheField name="Faknavn" numFmtId="0">
      <sharedItems containsNonDate="0" containsString="0" containsBlank="1"/>
    </cacheField>
    <cacheField name="A-sted" numFmtId="0">
      <sharedItems containsNonDate="0" containsBlank="1" count="14">
        <m/>
        <s v="1224" u="1"/>
        <s v="1244" u="1"/>
        <s v="1212" u="1"/>
        <s v="1232" u="1"/>
        <s v="1201" u="1"/>
        <s v="1211" u="1"/>
        <s v="1231" u="1"/>
        <s v="1200" u="1"/>
        <s v="1292" u="1"/>
        <s v="1250" u="1"/>
        <s v="1260" u="1"/>
        <s v="1280" u="1"/>
        <s v="1290" u="1"/>
      </sharedItems>
    </cacheField>
    <cacheField name="K-stednavn" numFmtId="0">
      <sharedItems containsNonDate="0" containsBlank="1" count="39">
        <m/>
        <s v="120000 MNFAK  Det mat.nat. fak." u="1"/>
        <s v="123208 MBI-sekvenslab" u="1"/>
        <s v="121212 Computational Biology Unit / CBU" u="1"/>
        <s v="120050 Rekruttar SFF og Sars, Thormøhlensgt. 55" u="1"/>
        <s v="125002 Undervisning" u="1"/>
        <s v="120001 MNFAKFEL  Det mat.nat. fak. fellesfunk." u="1"/>
        <s v="123100 KJEMISK  Kjemisk institutt" u="1"/>
        <s v="120004 MNELEKTRO  Elektronmikroskop(mat.nat.fak.)" u="1"/>
        <s v="124400 GEOFYS  Geofysisk institutt" u="1"/>
        <s v="123122 Kjemisk Bioorg/Farm" u="1"/>
        <s v="123207 MCB (Forskerskolen)" u="1"/>
        <s v="123206 CellStress" u="1"/>
        <s v="125000 Institutt for geovitenskap" u="1"/>
        <s v="128000 SFF - Geobiologi, Allégt. 41" u="1"/>
        <s v="122400 Institutt for fysikk og teknologi" u="1"/>
        <s v="121100 MATEM  Matematisk institutt" u="1"/>
        <s v="123130 CIPR-UIB" u="1"/>
        <s v="125001 Styrer" u="1"/>
        <s v="120007 Naturen" u="1"/>
        <s v="123203 NucReg prosjekt" u="1"/>
        <s v="125004 Laboratorier og verksted" u="1"/>
        <s v="120005 MNSKLAB  Skolelaboratorium i realfag" u="1"/>
        <s v="123205 MetaSig prosjekt" u="1"/>
        <s v="123201 Andre" u="1"/>
        <s v="125009 Nasjonalt seismisk nettverk" u="1"/>
        <s v="126000 Institutt for biologi" u="1"/>
        <s v="125003 IT" u="1"/>
        <s v="129000 Senter for klimadynamikk ved Bjerknessenteret" u="1"/>
        <s v="120110 MNFAKSEKR  Det mat.-nat.fak. sekr." u="1"/>
        <s v="123209 LEDIG" u="1"/>
        <s v="121200 INFORM  Inst. for informatikk" u="1"/>
        <s v="125005 Administrasjon" u="1"/>
        <s v="123200 Molekylærbiologisk institutt" u="1"/>
        <s v="123202 NucReg" u="1"/>
        <s v="123204 MetaSig" u="1"/>
        <s v="123121 Kjemisk Petroleumskjemi" u="1"/>
        <s v="129200 NIFES" u="1"/>
        <s v="124410 Bjerknes-UiB" u="1"/>
      </sharedItems>
    </cacheField>
    <cacheField name="Finansieringskilde" numFmtId="0">
      <sharedItems containsNonDate="0" containsBlank="1" count="6">
        <m/>
        <s v="2. NFR - bidragsaktivitet" u="1"/>
        <s v="0. Grunnbevilgning" u="1"/>
        <s v="1. Oppdragsaktivitet" u="1"/>
        <s v="3. EU - bidragsaktivitet" u="1"/>
        <s v="4. Annen bidragsaktivitet" u="1"/>
      </sharedItems>
    </cacheField>
    <cacheField name="Prosjektnavn:" numFmtId="0">
      <sharedItems containsNonDate="0" containsBlank="1" count="59">
        <m/>
        <s v="399993 PA - Periodisering - Organisasjoner" u="1"/>
        <s v="460001 Samleprosjekt Gaveforsterkning fra NFR" u="1"/>
        <s v="699992 PA - Reiser/Refusjoner" u="1"/>
        <s v="720012 Progr. for studieveiledere" u="1"/>
        <s v="700251 Eksamensavvikling" u="1"/>
        <s v="000000 Uspesifisert" u="1"/>
        <s v="720009 Vit.utstyr/forskn.fond" u="1"/>
        <s v="469994 PA - Gaveforsterkning" u="1"/>
        <s v="219995 PA - Statlige" u="1"/>
        <s v="720011 Økt studentutveksling" u="1"/>
        <s v="710009 Helseøkonomi" u="1"/>
        <s v="720010 Undervisningsreformen" u="1"/>
        <s v="710017 Samarbeidsavtaler" u="1"/>
        <s v="700117 Etter- og videreutdanning" u="1"/>
        <s v="499995 PA - Næringsliv/privat" u="1"/>
        <s v="710005 Strategisk satsning" u="1"/>
        <s v="199993 PA - Periodisering NFR" u="1"/>
        <s v="710028 Små driftsmidler bevilget f.o.m 2011" u="1"/>
        <s v="710022 Internasjonalisering" u="1"/>
        <s v="399995 PA - Organisasjoner" u="1"/>
        <s v="710014 Avtaler CMI/CMR" u="1"/>
        <s v="720026 Kapasitetstyrking EVU for lærere" u="1"/>
        <s v="700900 Saldering bidragsprosjekter" u="1"/>
        <s v="499993 PA - Periodisering - Næringsliv privat" u="1"/>
        <s v="720301 Utdanningskvalitetsprisen" u="1"/>
        <s v="639995 PA - EU Rammeprogram for forskning" u="1"/>
        <s v="199995 PA - NFR Prosjekter" u="1"/>
        <s v="100003 PA Periodisering Oppdragsprosjekter" u="1"/>
        <s v="700020 Forskningsetisk komite REK III" u="1"/>
        <s v="720020 Postdoktorer" u="1"/>
        <s v="710016 FUGE" u="1"/>
        <s v="700910 Egenfinansiering BOA" u="1"/>
        <s v="100005 PA - Oppdragsprosjekter" u="1"/>
        <s v="700033 Bruk av resultatmidler" u="1"/>
        <s v="710020 Forskerinitierte prosjekter" u="1"/>
        <s v="710006 Studiekvalitetstiltak" u="1"/>
        <s v="710010 Marine fag" u="1"/>
        <s v="700028 Likestilllingsarbeid" u="1"/>
        <s v="710021 Nano" u="1"/>
        <s v="599995 PA - Stiftelser" u="1"/>
        <s v="710004 Utviklingsforskning" u="1"/>
        <s v="219993 PA - Periodisering - Statlige etater" u="1"/>
        <s v="720006 Stipendiater" u="1"/>
        <s v="639994 PA - EU - Andre bidrag" u="1"/>
        <s v="469995 PA - Gaver" u="1"/>
        <s v="700237 Mottak nye studenter" u="1"/>
        <s v="599993 PA - Periodisering - Stiftelser" u="1"/>
        <s v="700112 Hovedtillitsvalgte" u="1"/>
        <s v="699993 PA - Periodisering Annet" u="1"/>
        <s v="700267 Teknovest" u="1"/>
        <s v="469993 PA periodisering GAVE" u="1"/>
        <s v="299995 PA - Kommunale og fylkeskommunale" u="1"/>
        <s v="720013 Studentfrafall" u="1"/>
        <s v="710011 Forskn.Rekr./komp-utvikling" u="1"/>
        <s v="700035 Likestillingspris 2008" u="1"/>
        <s v="699995 PA - Annet utland" u="1"/>
        <s v="700119 Avsetning til omstillingsformål" u="1"/>
        <s v="639993 PA - Periodisering EU rammeprogram" u="1"/>
      </sharedItems>
    </cacheField>
    <cacheField name="Analysenavn:" numFmtId="0">
      <sharedItems containsNonDate="0" containsString="0" containsBlank="1"/>
    </cacheField>
    <cacheField name="Motpart" numFmtId="0">
      <sharedItems containsNonDate="0" containsString="0" containsBlank="1"/>
    </cacheField>
    <cacheField name="Ta bort null-rader" numFmtId="0">
      <sharedItems containsNonDate="0" containsString="0" containsBlank="1"/>
    </cacheField>
    <cacheField name=" " numFmtId="0">
      <sharedItems containsNonDate="0" containsString="0" containsBlank="1"/>
    </cacheField>
    <cacheField name="I/K" numFmtId="0">
      <sharedItems containsNonDate="0" containsBlank="1" count="4">
        <m/>
        <s v="Kostn." u="1"/>
        <s v="Innt. " u="1"/>
        <s v="Overf." u="1"/>
      </sharedItems>
    </cacheField>
    <cacheField name="Artsklasse" numFmtId="0">
      <sharedItems containsNonDate="0" containsBlank="1" count="7">
        <m/>
        <s v="4 varek." u="1"/>
        <s v="5 lønn" u="1"/>
        <s v="3 inntekter" u="1"/>
        <s v="890 overf." u="1"/>
        <s v="6-7 adk." u="1"/>
        <s v="8-9 annet" u="1"/>
      </sharedItems>
    </cacheField>
    <cacheField name="Artsgruppe" numFmtId="0">
      <sharedItems containsNonDate="0" containsString="0" containsBlank="1"/>
    </cacheField>
    <cacheField name="Art" numFmtId="0">
      <sharedItems containsNonDate="0" containsBlank="1" count="275">
        <m/>
        <s v="9086 Godskrevet salg interne forskingsprosjekter" u="1"/>
        <s v="3009 Salg av diverse varer avg.pl" u="1"/>
        <s v="6515 Annet utstyr og materiell, kjøp" u="1"/>
        <s v="6604 33-Brannsikring" u="1"/>
        <s v="6044 Avskriving andre transportmidler" u="1"/>
        <s v="6840 Aviser, tidsskrifter" u="1"/>
        <s v="8671 NFR-koordinatormidler overf. til partnere" u="1"/>
        <s v="6830 Annonser/kunngjøringer" u="1"/>
        <s v="7610 Rettighetslisenser (kopinor mv.)" u="1"/>
        <s v="6861 Konferanse-, seminar- og kursutgifter" u="1"/>
        <s v="9152 Belastet egenandel av overhead (automatisk)" u="1"/>
        <s v="3930 Avskr, bevilg til invest, immat eiendeler" u="1"/>
        <s v="3488 Avregning fra PA" u="1"/>
        <s v="6842 Bøker, elektroniske tidsskifter, publikasjoner, noter" u="1"/>
        <s v="9181 Belastet kopieringsutgifter" u="1"/>
        <s v="6393 Montering møbler / inventar" u="1"/>
        <s v="9024 Godskrevet Frikjøp PA" u="1"/>
        <s v="9185 Belastet kjøp av utstyr" u="1"/>
        <s v="3429 Avregning av andre tilskudd fra EU" u="1"/>
        <s v="3450 Tilskudd fra næringsliv/privat" u="1"/>
        <s v="3400 Tilskudd fra NFR" u="1"/>
        <s v="5336 Selvst. næring Paga" u="1"/>
        <s v="6051 Avskriving teknisk vitenskapelig utstyr, 4 år" u="1"/>
        <s v="5801 Refusjon av sykepenger" u="1"/>
        <s v="3424 Avregning av EU rammeprogram for forskning" u="1"/>
        <s v="4799 Ikke plassert utstyr" u="1"/>
        <s v="6551 Kjøp Datautstyr" u="1"/>
        <s v="3031 Salg av konsulent-/rådg.t. avg.pl" u="1"/>
        <s v="5106 Lønn midl. bistillinger" u="1"/>
        <s v="7400 Medlemskontingenter,virksomhet" u="1"/>
        <s v="6799 Andre tjenester, kjøp" u="1"/>
        <s v="9085 Godskrevet salg av utstyr" u="1"/>
        <s v="3403 Avregning NFR fra forrige år" u="1"/>
        <s v="6820 Trykksaker/trykningsutgifter" u="1"/>
        <s v="6704 Konsulenttjenester, kjøp" u="1"/>
        <s v="6058 Avskriving audiovisuelt utstyr" u="1"/>
        <s v="9115 Avsl bidragsprosjekt overf pos/neg saldo" u="1"/>
        <s v="7020 Vedlikehold av biler, maskiner, forskningsfatøy" u="1"/>
        <s v="9142 Belastet variabel internhusleie" u="1"/>
        <s v="6400 Leie maskiner og utstyr" u="1"/>
        <s v="3243 Avregning oppdragspr. fra forrige år" u="1"/>
        <s v="6516 Teknisk forbruksmateriell, kjøp" u="1"/>
        <s v="3460 Gaver som utløser gaveforsterkning" u="1"/>
        <s v="5334 Trekkfrie stipend/reisestipend" u="1"/>
        <s v="9012 Godskrevet overhead (manuelt)" u="1"/>
        <s v="8732 Bidrag fra andre til tilskuddsforvaltning" u="1"/>
        <s v="5331 Godtgjørelser med feriepenger" u="1"/>
        <s v="9088 Godskrevet adm kostn" u="1"/>
        <s v="6730 Undervisningstjenester" u="1"/>
        <s v="6001 Avskriving dataprogrammer/lisenser" u="1"/>
        <s v="3430 Tilskudd fra kommunale og fylkeskommunale etater" u="1"/>
        <s v="9188 Belastet adm kostn" u="1"/>
        <s v="3600 Leieinntekter lokaler" u="1"/>
        <s v="4721 Datautstyr, kjøp" u="1"/>
        <s v="3489 Avregning fra PA" u="1"/>
        <s v="5081 Påløpte feriep. fast ansatte" u="1"/>
        <s v="6570 Arbeidstøy og verneutstyr, kjøp" u="1"/>
        <s v="6703 Administrative og tekniske tjenester" u="1"/>
        <s v="5251 Fordel gruppeliv" u="1"/>
        <s v="6543 Bøker til UBs samlinger" u="1"/>
        <s v="6394 Vakttjenester, løpende avtaler" u="1"/>
        <s v="6663 Service/vedlikehold, tekn./vitensk. utstyr" u="1"/>
        <s v="3230 Oppdragsinntekter unntatt mva loven" u="1"/>
        <s v="7151 Diett oppg.- og aga.pliktig" u="1"/>
        <s v="6399 Driftsrekvisita - renovasjon" u="1"/>
        <s v="3423 Avregning av EU rammeprogram for forskning overført fra forrige år" u="1"/>
        <s v="6396 Driftsrekvisita - VVS" u="1"/>
        <s v="4733 Inventar, kjøp" u="1"/>
        <s v="5901 Gaver til ansatte" u="1"/>
        <s v="3039 Salg av diverse tjenster avg.pl" u="1"/>
        <s v="4000 Budsjett varekostnad" u="1"/>
        <s v="9089 Godskrevet andre inntekter" u="1"/>
        <s v="3444 Avregning av tilskudd fra organisasjoner og stiftelser" u="1"/>
        <s v="8731 Bidrag fra NFR til koordinatormidler" u="1"/>
        <s v="5994 Lån av ressurser Prosjektmodul" u="1"/>
        <s v="4723 Dataprogrammer/Lisenser" u="1"/>
        <s v="3469 Avregning av gaveforsterkning" u="1"/>
        <s v="9015 Avsl bidragsprosjekt overf pos/neg saldo" u="1"/>
        <s v="9182 Belastet kursutgifter" u="1"/>
        <s v="6450 Leie biler/transportmidler" u="1"/>
        <s v="6300 Leieutgifter faste kontrakter" u="1"/>
        <s v="6320 Renovasjonsavgift" u="1"/>
        <s v="5051 Overtid fast ansatte" u="1"/>
        <s v="8900 IB overf. GB" u="1"/>
        <s v="3490 Tilskudd fra andre" u="1"/>
        <s v="9011 Godskrevet overhead (automatisk)" u="1"/>
        <s v="7799 Diverse kostnader" u="1"/>
        <s v="9051 Godskrevet egenfinansiering" u="1"/>
        <s v="6700 Revisjonstjenester" u="1"/>
        <s v="9183 Belastet telefonutgifter" u="1"/>
        <s v="5101 Lønn midl. vitenskapelige" u="1"/>
        <s v="5332 Godtgjørelse uten feriepenger" u="1"/>
        <s v="6340 Elektrisitet" u="1"/>
        <s v="5102 Lønn midl. teknisk/adm." u="1"/>
        <s v="5052 Godtgj.tokt/felt fast ansatte" u="1"/>
        <s v="6042 Avskriving skip" u="1"/>
        <s v="9052 Godskrevet egenandel av overhead (automatisk)" u="1"/>
        <s v="4711 Tekn./vitensk. Utstyr, kjøp 8 år" u="1"/>
        <s v="3413 Avregning Statlige etater fra forrige år" u="1"/>
        <s v="6618 Malerarbeid" u="1"/>
        <s v="8000 Netto finansposter" u="1"/>
        <s v="7794 Andre driftstilskudd" u="1"/>
        <s v="9111 Belastet overhead (automatisk) PA" u="1"/>
        <s v="6552 Kjøp Undervisnignsutstyr/Audiovisuelt utstyr" u="1"/>
        <s v="6791 Abonnement databaser" u="1"/>
        <s v="4742 Transportmidler, kjøp" u="1"/>
        <s v="6615 Vedlikeholdsmateriell" u="1"/>
        <s v="9147 Belastet NFR godkjent avskrivning utstyr" u="1"/>
        <s v="5002 Fastlønn teknisk/adm." u="1"/>
        <s v="3420 Tilskudd fra EU rammeprogram for forskning" u="1"/>
        <s v="3410 Tilskudd fra statlige etater" u="1"/>
        <s v="3468 Avregning av gaveforsterkning overført fra forrige år" u="1"/>
        <s v="3463 Avregning av gaver overført fra forrige år" u="1"/>
        <s v="6660 Service/vedlikehold, datautstyr og programvare/lisenser" u="1"/>
        <s v="3030 Oppdragsinntekter avg.pl" u="1"/>
        <s v="7090 Frakt og transportkostnader" u="1"/>
        <s v="9141 Belastet fast internhusleie" u="1"/>
        <s v="9186 Belastet kjøp interne forskningstjenester" u="1"/>
        <s v="5007 Lønn faste bistillinger" u="1"/>
        <s v="5301 Honorar styrer,råd,utvalg" u="1"/>
        <s v="3954 Avskr, bevilg til invest, utstyr/inventar/maskiner" u="1"/>
        <s v="3465 Gaveforsterkning" u="1"/>
        <s v="6905 Refusjon EKT etter regning" u="1"/>
        <s v="8161 Agiotap" u="1"/>
        <s v="3440 Tilskudd fra organisasjoner og stiftelser" u="1"/>
        <s v="5394 Lønn bedømmelse utland (ikke aga)" u="1"/>
        <s v="6553 Kjøp Tele og annet kommunikasjonsutstyr" u="1"/>
        <s v="8061 Agiovinning" u="1"/>
        <s v="3233 Salg av undervisningstjeneste" u="1"/>
        <s v="3494 Avregning av tilskudd fra andre" u="1"/>
        <s v="7790 Tilskudd til studentarr/studentorg." u="1"/>
        <s v="6800 Kontorrekvisita" u="1"/>
        <s v="6591 Gass og tilbehør" u="1"/>
        <s v="3000 Driftsinntekter, budsjett" u="1"/>
        <s v="7092 Drift av forskningsfartøy" u="1"/>
        <s v="3493 Avregning av tilskudd fra andre fra forrige år" u="1"/>
        <s v="5008 Tillegg fast ansatte" u="1"/>
        <s v="6720 Databeh.tjeneste" u="1"/>
        <s v="8901 UB overf. GB" u="1"/>
        <s v="7001 Drivstoff biler, maskiner, forskningsfartøy" u="1"/>
        <s v="5811 Ref. av foreldrepenger" u="1"/>
        <s v="6500 Tekn./vitensk. utstyr, kjøp" u="1"/>
        <s v="6054 Avskriving teknisk vitenskapelig utstyr, 8 år" u="1"/>
        <s v="3900 Innt. statsoppdrag KD eget kap" u="1"/>
        <s v="9047 Godskrevet NFR godkjent avskrivning utstyr" u="1"/>
        <s v="5299 Motpost naturalytelser" u="1"/>
        <s v="7772 Kortgebyr" u="1"/>
        <s v="5812 Ref. feriep. av foreldrep." u="1"/>
        <s v="6043 Avskriving biler" u="1"/>
        <s v="6052 Avskriving inventar" u="1"/>
        <s v="6322 Avgift spesialavfall/problemavfall" u="1"/>
        <s v="7350 Representasjon, bevertning til møter" u="1"/>
        <s v="5103 Lønn rekruttering (stip/postdok.)" u="1"/>
        <s v="9042 Godskrevet variabel internhusleie" u="1"/>
        <s v="5802 Ref. feriep. av sykepenger" u="1"/>
        <s v="9021 Godskrevet interne lønnskostnader" u="1"/>
        <s v="5115 Undervisningshonorar" u="1"/>
        <s v="6053 Avskriving teknisk vitenskapelig utstyr, 12 år" u="1"/>
        <s v="6302 Leieutgifter  boliger" u="1"/>
        <s v="3035 Salg forskningstjenester, avg.pl" u="1"/>
        <s v="5001 Fastlønn vitenskapelige" u="1"/>
        <s v="3434 Avregning av tilskudd fra kommunale og fylkeskommunale etater" u="1"/>
        <s v="7401 Medlemskontingenter, personlige" u="1"/>
        <s v="7091 Toll og spedisjonskostnader" u="1"/>
        <s v="5999 Andre personalkostnader" u="1"/>
        <s v="3414 Avregning Statlige etater" u="1"/>
        <s v="9151 Belastet egenfinansiering" u="1"/>
        <s v="9016 Godskrevet overhead UIB PA" u="1"/>
        <s v="5105 Lønn ekstrahjelp" u="1"/>
        <s v="6900 Telefoni forbruk" u="1"/>
        <s v="3443 Avregning av tilskudd fra organisasjoner og stiftelser fra forrige år" u="1"/>
        <s v="6611 52-Alarm/kontroll-sentral drifskontroll" u="1"/>
        <s v="5181 Påløpte feriep. midl. ansatte" u="1"/>
        <s v="3454 Avregning tilskudd fra næringsliv/privat" u="1"/>
        <s v="6059 Avskriving tele- og annet komm. utstyr, kjøp" u="1"/>
        <s v="7132 Reise ikke oppg.pl. mva (refusjon)" u="1"/>
        <s v="5996 Honorarutbetaling" u="1"/>
        <s v="5395 Annen godtgj. ikke aga" u="1"/>
        <s v="6511 Annet undervisningsmateriell" u="1"/>
        <s v="6398 Driftsrekvisita - renhold" u="1"/>
        <s v="3934 Avskr, bevilg til invest,utstyr/inventar" u="1"/>
        <s v="6600 11-Felleskostnader" u="1"/>
        <s v="5298 Refusjon rentefordel" u="1"/>
        <s v="8151 Morarenter" u="1"/>
        <s v="7771 Bankgebyr" u="1"/>
        <s v="5241 Rentefordel" u="1"/>
        <s v="9145 Energi, belastet" u="1"/>
        <s v="9112 Belastet overhead (manuelt)" u="1"/>
        <s v="5421 Arbeidsgivers pensjon" u="1"/>
        <s v="6662 Service/vedlikehold annet utstyr" u="1"/>
        <s v="5890 Ref. aga syke-/foreldrep." u="1"/>
        <s v="7410 Gaver" u="1"/>
        <s v="9116 Belastet overhead UIB PA" u="1"/>
        <s v="3464 Avregning av gaver" u="1"/>
        <s v="3404 Avregning NFR" u="1"/>
        <s v="6823 Kopieringsutgifter, eksterne" u="1"/>
        <s v="9124 Belastet Frikjøp PA" u="1"/>
        <s v="5091 Periodisering lønn fast ansatte" u="1"/>
        <s v="6902 Linjeleie datakommun\ikasjon, ADSL - bredbånd" u="1"/>
        <s v="6510 Kjøp lab.materiell" u="1"/>
        <s v="7600 Kjøp dataprogrammer/lisenser" u="1"/>
        <s v="3932 Avskr, bevilg til invest, eiendom" u="1"/>
        <s v="9081 Godskrevet kopieringsinntekter" u="1"/>
        <s v="3952 Avskr, bevilg til invest, eiendom" u="1"/>
        <s v="3236 Refusjon lønn" u="1"/>
        <s v="7130 Reise oppgavepliktig" u="1"/>
        <s v="6502 Kjøp maskiner/verktøy" u="1"/>
        <s v="5411 Aga av påløpte feriepenger" u="1"/>
        <s v="7150 Diett oppgavepliktig" u="1"/>
        <s v="3924 Bevilg til invest, (12) utst./inv" u="1"/>
        <s v="7199 Periodisering av reise" u="1"/>
        <s v="6344 Gass" u="1"/>
        <s v="6301 Korttidsleie av lokaler" u="1"/>
        <s v="7093 Skatter og avgifter, biler og maskiner" u="1"/>
        <s v="5104 Lønn vikarer" u="1"/>
        <s v="6016 Avskriving installasjoner" u="1"/>
        <s v="3425 Tilskudd fra EU - Andre bidrag (undervisning og andre tilskudd)" u="1"/>
        <s v="6055 Avskriving kontormaskiner" u="1"/>
        <s v="3428 Avregning av andre tilskudd fra EU fra forrige år" u="1"/>
        <s v="5112 Lønn sensur" u="1"/>
        <s v="5211 Fordel EK-tjenester" u="1"/>
        <s v="9189 Belastet andre utgifter" u="1"/>
        <s v="3239 Salg av diverse tjenester unntatt mva loven" u="1"/>
        <s v="6000 Andre driftskostnader, budsjett" u="1"/>
        <s v="6040 Avskriving maskiner/verktøy, 10 år" u="1"/>
        <s v="9121 Belastede interne lønnskostnader" u="1"/>
        <s v="4722 Audiovisuelt utstyr, kjøp" u="1"/>
        <s v="3244 Avregning oppdragsprosjekter" u="1"/>
        <s v="6364 Vask av tekstiler" u="1"/>
        <s v="3601 Leieinntekter boliger" u="1"/>
        <s v="7195 Mobilitetsgodtgj. oppg.pl." u="1"/>
        <s v="6517 Forskningsmateriell" u="1"/>
        <s v="7099 Andre kostnar egne transportmidler" u="1"/>
        <s v="6891 Andre kontorutgifter" u="1"/>
        <s v="5995 Utlån av ressurser Prosjektmodul" u="1"/>
        <s v="6940 Porto" u="1"/>
        <s v="5961 Velferdstilskudd" u="1"/>
        <s v="3487 Avregning fra PA" u="1"/>
        <s v="5114 Lønn bedømmelseskomite" u="1"/>
        <s v="3237 Div refusjoner" u="1"/>
        <s v="3204 Utbetaling kunde" u="1"/>
        <s v="6540 Kjøp inventar / kontormaskiner" u="1"/>
        <s v="4713 Tekn./vitensk. Utstyr, kjøp 12 år" u="1"/>
        <s v="6392 Adgangskontrollsystemer" u="1"/>
        <s v="9146 Undv.rom belastet internleie" u="1"/>
        <s v="6501 Tekn./vitensk. utstyr til utgravning/feltarbeid" u="1"/>
        <s v="6595 Forsøksdyr, fisk/yngel" u="1"/>
        <s v="3950 Avskr, bevilg til invest, immat. eiendeler" u="1"/>
        <s v="5392 Utgiftsrefusjon privat" u="1"/>
        <s v="5899 Andre ref. vedr.arbeidskraft" u="1"/>
        <s v="6362 Hovedrengjøring og hygienerenhold" u="1"/>
        <s v="8672 Tilskudd der UiB er tilskuddsforvalter" u="1"/>
        <s v="3453 Avregning tilskudd fra næringsliv/privat fra forrige år" u="1"/>
        <s v="7501 Reiseforsikring" u="1"/>
        <s v="7152 Diett ikke oppgavepliktig" u="1"/>
        <s v="9041 Godskrevet fast internhusleie" u="1"/>
        <s v="7100 Bilgodtgjørelse oppgavepl." u="1"/>
        <s v="5401 Aga av lønn,honorar,gruppeliv" u="1"/>
        <s v="6057 Avskriving datautstyr" u="1"/>
        <s v="5391 Kompensasjonstillegg" u="1"/>
        <s v="6410 Leie inventar/kontormaskiner" u="1"/>
        <s v="6012 Avskriving ventilasjon" u="1"/>
        <s v="7131 Reise ikke oppg.pl. (refusjon)" u="1"/>
        <s v="6041 Avskriving maskiner/verktøy, 5 år" u="1"/>
        <s v="3433 Avregning av tilskudd fra kommunale og fylkeskommunale etater fra forrige år" u="1"/>
        <s v="6596 Fôr" u="1"/>
        <s v="6397 Driftsrekvisita - EL" u="1"/>
        <s v="9184 Belastet interne datatjenester" u="1"/>
        <s v="6593 Kjemikalier" u="1"/>
        <s v="6390 Andre kostn. drift lokaler" u="1"/>
        <s v="5393 Lønn sensur utland (ikke aga)" u="1"/>
        <s v="5000 Kostnader arbeidskraft, budsjett" u="1"/>
        <s v="3238 Driftstilskudd" u="1"/>
        <s v="5405 Aga av pensjonsinnskudd" u="1"/>
      </sharedItems>
    </cacheField>
    <cacheField name="Denne måned - budsjett" numFmtId="165">
      <sharedItems containsNonDate="0" containsString="0" containsBlank="1"/>
    </cacheField>
    <cacheField name="Denne måned - regnskap" numFmtId="165">
      <sharedItems containsNonDate="0" containsString="0" containsBlank="1"/>
    </cacheField>
    <cacheField name="Denne måned - avvik" numFmtId="164">
      <sharedItems containsNonDate="0" containsString="0" containsBlank="1"/>
    </cacheField>
    <cacheField name="Denne måned - avvik % " numFmtId="166">
      <sharedItems containsNonDate="0" containsString="0" containsBlank="1"/>
    </cacheField>
    <cacheField name=" _1" numFmtId="0">
      <sharedItems containsNonDate="0" containsString="0" containsBlank="1"/>
    </cacheField>
    <cacheField name="Hittil i år - budsjett" numFmtId="165">
      <sharedItems containsNonDate="0" containsString="0" containsBlank="1"/>
    </cacheField>
    <cacheField name="Hittil i år - regnskap" numFmtId="165">
      <sharedItems containsNonDate="0" containsString="0" containsBlank="1"/>
    </cacheField>
    <cacheField name="Hittil i år - avvik" numFmtId="164">
      <sharedItems containsNonDate="0" containsString="0" containsBlank="1"/>
    </cacheField>
    <cacheField name="Hittil i  år - avvik i %" numFmtId="166">
      <sharedItems containsNonDate="0" containsString="0" containsBlank="1"/>
    </cacheField>
    <cacheField name=" _2" numFmtId="0">
      <sharedItems containsNonDate="0" containsString="0" containsBlank="1"/>
    </cacheField>
    <cacheField name="Årsbudsjett" numFmtId="165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">
  <r>
    <m/>
    <x v="0"/>
    <x v="0"/>
    <x v="0"/>
    <x v="0"/>
    <m/>
    <m/>
    <m/>
    <m/>
    <x v="0"/>
    <x v="0"/>
    <m/>
    <x v="0"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6:D7" firstHeaderRow="0" firstDataRow="1" firstDataCol="1" rowPageCount="4" colPageCount="1"/>
  <pivotFields count="24">
    <pivotField showAll="0"/>
    <pivotField axis="axisPage" showAll="0">
      <items count="15">
        <item m="1" x="8"/>
        <item m="1" x="5"/>
        <item m="1" x="6"/>
        <item m="1" x="3"/>
        <item m="1" x="1"/>
        <item m="1" x="7"/>
        <item m="1" x="4"/>
        <item m="1" x="2"/>
        <item m="1" x="10"/>
        <item m="1" x="11"/>
        <item m="1" x="12"/>
        <item m="1" x="13"/>
        <item m="1" x="9"/>
        <item x="0"/>
        <item t="default"/>
      </items>
    </pivotField>
    <pivotField axis="axisPage" showAll="0">
      <items count="40">
        <item m="1" x="1"/>
        <item m="1" x="6"/>
        <item m="1" x="8"/>
        <item m="1" x="22"/>
        <item m="1" x="19"/>
        <item m="1" x="4"/>
        <item m="1" x="29"/>
        <item m="1" x="16"/>
        <item m="1" x="31"/>
        <item m="1" x="3"/>
        <item m="1" x="15"/>
        <item m="1" x="7"/>
        <item m="1" x="36"/>
        <item m="1" x="10"/>
        <item m="1" x="17"/>
        <item m="1" x="33"/>
        <item m="1" x="24"/>
        <item m="1" x="34"/>
        <item m="1" x="20"/>
        <item m="1" x="35"/>
        <item m="1" x="23"/>
        <item m="1" x="12"/>
        <item m="1" x="11"/>
        <item m="1" x="2"/>
        <item m="1" x="30"/>
        <item m="1" x="9"/>
        <item m="1" x="38"/>
        <item m="1" x="13"/>
        <item m="1" x="18"/>
        <item m="1" x="5"/>
        <item m="1" x="27"/>
        <item m="1" x="21"/>
        <item m="1" x="32"/>
        <item m="1" x="25"/>
        <item m="1" x="26"/>
        <item m="1" x="14"/>
        <item m="1" x="28"/>
        <item m="1" x="37"/>
        <item x="0"/>
        <item t="default"/>
      </items>
    </pivotField>
    <pivotField axis="axisRow" showAll="0">
      <items count="7">
        <item h="1" m="1" x="2"/>
        <item m="1" x="3"/>
        <item m="1" x="1"/>
        <item m="1" x="4"/>
        <item m="1" x="5"/>
        <item h="1" x="0"/>
        <item t="default"/>
      </items>
    </pivotField>
    <pivotField axis="axisPage" showAll="0">
      <items count="60">
        <item m="1" x="6"/>
        <item m="1" x="28"/>
        <item m="1" x="33"/>
        <item m="1" x="17"/>
        <item m="1" x="27"/>
        <item m="1" x="42"/>
        <item m="1" x="9"/>
        <item m="1" x="52"/>
        <item m="1" x="1"/>
        <item m="1" x="20"/>
        <item m="1" x="2"/>
        <item m="1" x="51"/>
        <item m="1" x="8"/>
        <item m="1" x="45"/>
        <item m="1" x="24"/>
        <item m="1" x="15"/>
        <item m="1" x="47"/>
        <item m="1" x="40"/>
        <item m="1" x="58"/>
        <item m="1" x="44"/>
        <item m="1" x="26"/>
        <item m="1" x="3"/>
        <item m="1" x="49"/>
        <item m="1" x="56"/>
        <item m="1" x="29"/>
        <item m="1" x="38"/>
        <item m="1" x="34"/>
        <item m="1" x="55"/>
        <item m="1" x="48"/>
        <item m="1" x="14"/>
        <item m="1" x="57"/>
        <item m="1" x="46"/>
        <item m="1" x="5"/>
        <item m="1" x="50"/>
        <item m="1" x="23"/>
        <item m="1" x="32"/>
        <item m="1" x="41"/>
        <item m="1" x="16"/>
        <item m="1" x="36"/>
        <item m="1" x="11"/>
        <item m="1" x="37"/>
        <item m="1" x="54"/>
        <item m="1" x="21"/>
        <item m="1" x="31"/>
        <item m="1" x="13"/>
        <item m="1" x="35"/>
        <item m="1" x="39"/>
        <item m="1" x="19"/>
        <item m="1" x="18"/>
        <item m="1" x="43"/>
        <item m="1" x="7"/>
        <item m="1" x="12"/>
        <item m="1" x="10"/>
        <item m="1" x="4"/>
        <item m="1" x="53"/>
        <item m="1" x="30"/>
        <item m="1" x="22"/>
        <item m="1" x="25"/>
        <item x="0"/>
        <item t="default"/>
      </items>
    </pivotField>
    <pivotField showAll="0"/>
    <pivotField showAll="0"/>
    <pivotField showAll="0"/>
    <pivotField showAll="0"/>
    <pivotField axis="axisRow" showAll="0">
      <items count="5">
        <item m="1" x="2"/>
        <item m="1" x="1"/>
        <item m="1" x="3"/>
        <item x="0"/>
        <item t="default"/>
      </items>
    </pivotField>
    <pivotField axis="axisPage" multipleItemSelectionAllowed="1" showAll="0">
      <items count="8">
        <item m="1" x="3"/>
        <item h="1" m="1" x="1"/>
        <item h="1" m="1" x="2"/>
        <item h="1" m="1" x="5"/>
        <item m="1" x="6"/>
        <item h="1" m="1" x="4"/>
        <item h="1" x="0"/>
        <item t="default"/>
      </items>
    </pivotField>
    <pivotField showAll="0"/>
    <pivotField axis="axisRow" showAll="0">
      <items count="276">
        <item m="1" x="134"/>
        <item m="1" x="2"/>
        <item m="1" x="115"/>
        <item m="1" x="28"/>
        <item m="1" x="160"/>
        <item m="1" x="70"/>
        <item m="1" x="241"/>
        <item m="1" x="63"/>
        <item m="1" x="129"/>
        <item m="1" x="205"/>
        <item m="1" x="240"/>
        <item m="1" x="273"/>
        <item m="1" x="223"/>
        <item m="1" x="41"/>
        <item m="1" x="228"/>
        <item m="1" x="21"/>
        <item m="1" x="33"/>
        <item m="1" x="195"/>
        <item m="1" x="111"/>
        <item m="1" x="99"/>
        <item m="1" x="166"/>
        <item m="1" x="110"/>
        <item m="1" x="66"/>
        <item m="1" x="25"/>
        <item m="1" x="217"/>
        <item m="1" x="219"/>
        <item m="1" x="19"/>
        <item m="1" x="51"/>
        <item m="1" x="265"/>
        <item m="1" x="162"/>
        <item m="1" x="125"/>
        <item m="1" x="171"/>
        <item m="1" x="73"/>
        <item m="1" x="20"/>
        <item m="1" x="253"/>
        <item m="1" x="174"/>
        <item m="1" x="43"/>
        <item m="1" x="113"/>
        <item m="1" x="194"/>
        <item m="1" x="122"/>
        <item m="1" x="112"/>
        <item m="1" x="77"/>
        <item m="1" x="238"/>
        <item m="1" x="13"/>
        <item m="1" x="55"/>
        <item m="1" x="85"/>
        <item m="1" x="136"/>
        <item m="1" x="130"/>
        <item m="1" x="53"/>
        <item m="1" x="230"/>
        <item m="1" x="144"/>
        <item m="1" x="210"/>
        <item m="1" x="12"/>
        <item m="1" x="202"/>
        <item m="1" x="181"/>
        <item m="1" x="248"/>
        <item m="1" x="204"/>
        <item m="1" x="121"/>
        <item h="1" m="1" x="71"/>
        <item h="1" m="1" x="98"/>
        <item h="1" m="1" x="243"/>
        <item h="1" m="1" x="54"/>
        <item h="1" m="1" x="227"/>
        <item h="1" m="1" x="76"/>
        <item h="1" m="1" x="68"/>
        <item h="1" m="1" x="106"/>
        <item h="1" m="1" x="26"/>
        <item h="1" m="1" x="272"/>
        <item h="1" m="1" x="161"/>
        <item h="1" m="1" x="109"/>
        <item h="1" m="1" x="119"/>
        <item h="1" m="1" x="137"/>
        <item h="1" m="1" x="83"/>
        <item h="1" m="1" x="95"/>
        <item h="1" m="1" x="56"/>
        <item h="1" m="1" x="198"/>
        <item h="1" m="1" x="91"/>
        <item h="1" m="1" x="94"/>
        <item h="1" m="1" x="153"/>
        <item h="1" m="1" x="215"/>
        <item h="1" m="1" x="169"/>
        <item h="1" m="1" x="29"/>
        <item h="1" m="1" x="220"/>
        <item h="1" m="1" x="239"/>
        <item h="1" m="1" x="157"/>
        <item h="1" m="1" x="173"/>
        <item h="1" m="1" x="221"/>
        <item h="1" m="1" x="186"/>
        <item h="1" m="1" x="59"/>
        <item h="1" m="1" x="183"/>
        <item h="1" m="1" x="146"/>
        <item h="1" m="1" x="120"/>
        <item h="1" m="1" x="47"/>
        <item h="1" m="1" x="92"/>
        <item h="1" m="1" x="44"/>
        <item h="1" m="1" x="22"/>
        <item h="1" m="1" x="260"/>
        <item h="1" m="1" x="249"/>
        <item h="1" m="1" x="271"/>
        <item h="1" m="1" x="126"/>
        <item h="1" m="1" x="178"/>
        <item h="1" m="1" x="258"/>
        <item h="1" m="1" x="274"/>
        <item h="1" m="1" x="208"/>
        <item h="1" m="1" x="189"/>
        <item h="1" m="1" x="24"/>
        <item h="1" m="1" x="155"/>
        <item h="1" m="1" x="141"/>
        <item h="1" m="1" x="148"/>
        <item h="1" m="1" x="191"/>
        <item h="1" m="1" x="250"/>
        <item h="1" m="1" x="69"/>
        <item h="1" m="1" x="237"/>
        <item h="1" m="1" x="75"/>
        <item h="1" m="1" x="235"/>
        <item h="1" m="1" x="177"/>
        <item h="1" m="1" x="165"/>
        <item h="1" m="1" x="224"/>
        <item h="1" m="1" x="50"/>
        <item h="1" m="1" x="262"/>
        <item h="1" m="1" x="216"/>
        <item h="1" m="1" x="225"/>
        <item h="1" m="1" x="264"/>
        <item h="1" m="1" x="96"/>
        <item h="1" m="1" x="149"/>
        <item h="1" m="1" x="5"/>
        <item h="1" m="1" x="23"/>
        <item h="1" m="1" x="150"/>
        <item h="1" m="1" x="158"/>
        <item h="1" m="1" x="143"/>
        <item h="1" m="1" x="218"/>
        <item h="1" m="1" x="259"/>
        <item h="1" m="1" x="36"/>
        <item h="1" m="1" x="175"/>
        <item h="1" m="1" x="81"/>
        <item h="1" m="1" x="213"/>
        <item h="1" m="1" x="159"/>
        <item h="1" m="1" x="82"/>
        <item h="1" m="1" x="151"/>
        <item h="1" m="1" x="93"/>
        <item h="1" m="1" x="212"/>
        <item h="1" m="1" x="251"/>
        <item h="1" m="1" x="229"/>
        <item h="1" m="1" x="270"/>
        <item h="1" m="1" x="244"/>
        <item h="1" m="1" x="16"/>
        <item h="1" m="1" x="61"/>
        <item h="1" m="1" x="67"/>
        <item h="1" m="1" x="267"/>
        <item h="1" m="1" x="180"/>
        <item h="1" m="1" x="65"/>
        <item h="1" m="1" x="40"/>
        <item h="1" m="1" x="261"/>
        <item h="1" m="1" x="80"/>
        <item h="1" m="1" x="142"/>
        <item h="1" m="1" x="246"/>
        <item h="1" m="1" x="207"/>
        <item h="1" m="1" x="200"/>
        <item h="1" m="1" x="179"/>
        <item h="1" m="1" x="3"/>
        <item h="1" m="1" x="42"/>
        <item h="1" m="1" x="232"/>
        <item h="1" m="1" x="242"/>
        <item h="1" m="1" x="60"/>
        <item h="1" m="1" x="27"/>
        <item h="1" m="1" x="104"/>
        <item h="1" m="1" x="127"/>
        <item h="1" m="1" x="57"/>
        <item h="1" m="1" x="133"/>
        <item h="1" m="1" x="269"/>
        <item h="1" m="1" x="247"/>
        <item h="1" m="1" x="266"/>
        <item h="1" m="1" x="182"/>
        <item h="1" m="1" x="4"/>
        <item h="1" m="1" x="172"/>
        <item h="1" m="1" x="107"/>
        <item h="1" m="1" x="100"/>
        <item h="1" m="1" x="114"/>
        <item h="1" m="1" x="190"/>
        <item h="1" m="1" x="62"/>
        <item h="1" m="1" x="89"/>
        <item h="1" m="1" x="58"/>
        <item h="1" m="1" x="35"/>
        <item h="1" m="1" x="138"/>
        <item h="1" m="1" x="49"/>
        <item h="1" m="1" x="105"/>
        <item h="1" m="1" x="31"/>
        <item h="1" m="1" x="132"/>
        <item h="1" m="1" x="34"/>
        <item h="1" m="1" x="196"/>
        <item h="1" m="1" x="8"/>
        <item h="1" m="1" x="6"/>
        <item h="1" m="1" x="14"/>
        <item h="1" m="1" x="10"/>
        <item h="1" m="1" x="234"/>
        <item h="1" m="1" x="170"/>
        <item h="1" m="1" x="199"/>
        <item h="1" m="1" x="123"/>
        <item h="1" m="1" x="236"/>
        <item h="1" m="1" x="140"/>
        <item h="1" m="1" x="38"/>
        <item h="1" m="1" x="116"/>
        <item h="1" m="1" x="164"/>
        <item h="1" m="1" x="135"/>
        <item h="1" m="1" x="214"/>
        <item h="1" m="1" x="233"/>
        <item h="1" m="1" x="257"/>
        <item h="1" m="1" x="206"/>
        <item h="1" m="1" x="263"/>
        <item h="1" m="1" x="176"/>
        <item h="1" m="1" x="209"/>
        <item h="1" m="1" x="64"/>
        <item h="1" m="1" x="255"/>
        <item h="1" m="1" x="231"/>
        <item h="1" m="1" x="211"/>
        <item h="1" m="1" x="152"/>
        <item h="1" m="1" x="30"/>
        <item h="1" m="1" x="163"/>
        <item h="1" m="1" x="192"/>
        <item h="1" m="1" x="254"/>
        <item h="1" m="1" x="201"/>
        <item h="1" m="1" x="9"/>
        <item h="1" m="1" x="185"/>
        <item h="1" m="1" x="147"/>
        <item h="1" m="1" x="131"/>
        <item h="1" m="1" x="102"/>
        <item h="1" m="1" x="87"/>
        <item h="1" m="1" x="101"/>
        <item h="1" m="1" x="128"/>
        <item h="1" m="1" x="184"/>
        <item h="1" m="1" x="124"/>
        <item h="1" m="1" x="7"/>
        <item h="1" m="1" x="252"/>
        <item m="1" x="74"/>
        <item m="1" x="46"/>
        <item h="1" m="1" x="84"/>
        <item h="1" m="1" x="139"/>
        <item h="1" m="1" x="86"/>
        <item h="1" m="1" x="45"/>
        <item h="1" m="1" x="78"/>
        <item h="1" m="1" x="168"/>
        <item h="1" m="1" x="156"/>
        <item h="1" m="1" x="17"/>
        <item h="1" m="1" x="256"/>
        <item h="1" m="1" x="154"/>
        <item h="1" m="1" x="145"/>
        <item h="1" m="1" x="88"/>
        <item h="1" m="1" x="97"/>
        <item h="1" m="1" x="203"/>
        <item h="1" m="1" x="32"/>
        <item h="1" m="1" x="1"/>
        <item h="1" m="1" x="48"/>
        <item h="1" m="1" x="72"/>
        <item h="1" m="1" x="103"/>
        <item h="1" m="1" x="188"/>
        <item h="1" m="1" x="37"/>
        <item h="1" m="1" x="193"/>
        <item h="1" m="1" x="226"/>
        <item h="1" m="1" x="197"/>
        <item h="1" m="1" x="117"/>
        <item h="1" m="1" x="39"/>
        <item h="1" m="1" x="187"/>
        <item h="1" m="1" x="245"/>
        <item h="1" m="1" x="108"/>
        <item h="1" m="1" x="167"/>
        <item h="1" m="1" x="11"/>
        <item h="1" m="1" x="15"/>
        <item h="1" m="1" x="79"/>
        <item h="1" m="1" x="90"/>
        <item h="1" m="1" x="268"/>
        <item h="1" m="1" x="18"/>
        <item h="1" m="1" x="118"/>
        <item h="1" m="1" x="52"/>
        <item h="1" m="1" x="222"/>
        <item h="1" x="0"/>
        <item t="default"/>
      </items>
    </pivotField>
    <pivotField numFmtId="165" showAll="0"/>
    <pivotField numFmtId="165" showAll="0"/>
    <pivotField numFmtId="164" showAll="0"/>
    <pivotField showAll="0"/>
    <pivotField showAll="0"/>
    <pivotField dataField="1" numFmtId="165" showAll="0"/>
    <pivotField dataField="1" numFmtId="165" showAll="0"/>
    <pivotField numFmtId="164" showAll="0"/>
    <pivotField showAll="0"/>
    <pivotField showAll="0"/>
    <pivotField dataField="1" numFmtId="165" showAll="0"/>
  </pivotFields>
  <rowFields count="3">
    <field x="3"/>
    <field x="9"/>
    <field x="12"/>
  </rowFields>
  <rowItems count="1">
    <i t="grand">
      <x/>
    </i>
  </rowItems>
  <colFields count="1">
    <field x="-2"/>
  </colFields>
  <colItems count="3">
    <i>
      <x/>
    </i>
    <i i="1">
      <x v="1"/>
    </i>
    <i i="2">
      <x v="2"/>
    </i>
  </colItems>
  <pageFields count="4">
    <pageField fld="1" hier="-1"/>
    <pageField fld="2" hier="-1"/>
    <pageField fld="4" hier="-1"/>
    <pageField fld="10" hier="-1"/>
  </pageFields>
  <dataFields count="3">
    <dataField name="Sum of Årsbudsjett" fld="23" baseField="0" baseItem="0"/>
    <dataField name="Sum of Hittil i år - budsjett" fld="18" baseField="0" baseItem="0"/>
    <dataField name="Sum of Hittil i år - regnskap" fld="19" baseField="0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X2" insertRow="1" totalsRowShown="0" headerRowDxfId="29" dataDxfId="27" headerRowBorderDxfId="28" tableBorderDxfId="26" totalsRowBorderDxfId="25">
  <autoFilter ref="A1:X2"/>
  <tableColumns count="24">
    <tableColumn id="1" name="Faknavn" dataDxfId="24"/>
    <tableColumn id="2" name="A-sted" dataDxfId="23"/>
    <tableColumn id="3" name="K-stednavn" dataDxfId="22"/>
    <tableColumn id="4" name="Finansieringskilde" dataDxfId="21"/>
    <tableColumn id="5" name="Prosjektnavn:" dataDxfId="20"/>
    <tableColumn id="6" name="Analysenavn:" dataDxfId="19"/>
    <tableColumn id="7" name="Motpart" dataDxfId="18"/>
    <tableColumn id="8" name="Ta bort null-rader" dataDxfId="17"/>
    <tableColumn id="9" name=" " dataDxfId="16"/>
    <tableColumn id="10" name="I/K" dataDxfId="15"/>
    <tableColumn id="11" name="Artsklasse" dataDxfId="14"/>
    <tableColumn id="12" name="Artsgruppe" dataDxfId="13"/>
    <tableColumn id="13" name="Art" dataDxfId="12"/>
    <tableColumn id="14" name="Denne måned - budsjett" dataDxfId="11"/>
    <tableColumn id="15" name="Denne måned - regnskap" dataDxfId="10"/>
    <tableColumn id="16" name="Denne måned - avvik" dataDxfId="9">
      <calculatedColumnFormula>N2-O2</calculatedColumnFormula>
    </tableColumn>
    <tableColumn id="17" name="Denne måned - avvik % " dataDxfId="8"/>
    <tableColumn id="18" name=" _1" dataDxfId="7"/>
    <tableColumn id="19" name="Hittil i år - budsjett" dataDxfId="6"/>
    <tableColumn id="20" name="Hittil i år - regnskap" dataDxfId="5"/>
    <tableColumn id="21" name="Hittil i år - avvik" dataDxfId="4"/>
    <tableColumn id="22" name="Hittil i  år - avvik i %" dataDxfId="3"/>
    <tableColumn id="23" name=" _2" dataDxfId="2"/>
    <tableColumn id="24" name="Årsbudsjett" dataDxfId="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"/>
  <sheetViews>
    <sheetView showGridLines="0" workbookViewId="0">
      <selection activeCell="C46" sqref="C46"/>
    </sheetView>
  </sheetViews>
  <sheetFormatPr defaultRowHeight="12.75" x14ac:dyDescent="0.2"/>
  <cols>
    <col min="1" max="1" width="11" style="5" customWidth="1"/>
    <col min="2" max="2" width="9.140625" style="5" customWidth="1"/>
    <col min="3" max="3" width="53.42578125" style="5" bestFit="1" customWidth="1"/>
    <col min="4" max="4" width="23.85546875" style="5" bestFit="1" customWidth="1"/>
    <col min="5" max="5" width="47.140625" style="5" bestFit="1" customWidth="1"/>
    <col min="6" max="6" width="71.42578125" style="5" bestFit="1" customWidth="1"/>
    <col min="7" max="7" width="10" style="5" customWidth="1"/>
    <col min="8" max="8" width="19" style="5" customWidth="1"/>
    <col min="9" max="9" width="3.7109375" style="5" customWidth="1"/>
    <col min="10" max="10" width="7" style="5" bestFit="1" customWidth="1"/>
    <col min="11" max="11" width="12.85546875" style="5" customWidth="1"/>
    <col min="12" max="12" width="86.5703125" style="5" bestFit="1" customWidth="1"/>
    <col min="13" max="13" width="79.7109375" style="5" bestFit="1" customWidth="1"/>
    <col min="14" max="14" width="27.28515625" style="5" customWidth="1"/>
    <col min="15" max="15" width="28.42578125" style="5" customWidth="1"/>
    <col min="16" max="16" width="24.42578125" style="5" customWidth="1"/>
    <col min="17" max="17" width="27.42578125" style="5" customWidth="1"/>
    <col min="18" max="18" width="6" style="5" customWidth="1"/>
    <col min="19" max="19" width="21.7109375" style="5" customWidth="1"/>
    <col min="20" max="20" width="22.85546875" style="5" customWidth="1"/>
    <col min="21" max="21" width="18.85546875" style="5" customWidth="1"/>
    <col min="22" max="22" width="23" style="5" customWidth="1"/>
    <col min="23" max="23" width="6" style="5" customWidth="1"/>
    <col min="24" max="24" width="14.7109375" style="5" customWidth="1"/>
    <col min="25" max="16384" width="9.140625" style="5"/>
  </cols>
  <sheetData>
    <row r="1" spans="1:24" ht="15" x14ac:dyDescent="0.2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2" t="s">
        <v>10</v>
      </c>
      <c r="L1" s="1" t="s">
        <v>11</v>
      </c>
      <c r="M1" s="1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1" t="s">
        <v>60</v>
      </c>
      <c r="S1" s="4" t="s">
        <v>17</v>
      </c>
      <c r="T1" s="4" t="s">
        <v>18</v>
      </c>
      <c r="U1" s="4" t="s">
        <v>19</v>
      </c>
      <c r="V1" s="4" t="s">
        <v>20</v>
      </c>
      <c r="W1" s="1" t="s">
        <v>61</v>
      </c>
      <c r="X1" s="4" t="s">
        <v>21</v>
      </c>
    </row>
    <row r="2" spans="1:24" ht="14.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6"/>
      <c r="O2" s="6"/>
      <c r="P2" s="7"/>
      <c r="Q2" s="8"/>
      <c r="R2" s="9"/>
      <c r="S2" s="6"/>
      <c r="T2" s="6"/>
      <c r="U2" s="7"/>
      <c r="V2" s="8"/>
      <c r="W2" s="9"/>
      <c r="X2" s="6"/>
    </row>
  </sheetData>
  <pageMargins left="0.75" right="0.75" top="1" bottom="1" header="0.5" footer="0.5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1"/>
  <sheetViews>
    <sheetView workbookViewId="0"/>
  </sheetViews>
  <sheetFormatPr defaultRowHeight="12.75" x14ac:dyDescent="0.2"/>
  <sheetData>
    <row r="1" spans="1:3" x14ac:dyDescent="0.2">
      <c r="A1" t="s">
        <v>24</v>
      </c>
      <c r="B1" t="s">
        <v>43</v>
      </c>
      <c r="C1" t="s">
        <v>59</v>
      </c>
    </row>
    <row r="8" spans="1:3" x14ac:dyDescent="0.2">
      <c r="A8" t="s">
        <v>25</v>
      </c>
      <c r="B8" t="s">
        <v>44</v>
      </c>
    </row>
    <row r="15" spans="1:3" x14ac:dyDescent="0.2">
      <c r="A15" t="s">
        <v>26</v>
      </c>
      <c r="B15" t="s">
        <v>45</v>
      </c>
    </row>
    <row r="22" spans="1:2" x14ac:dyDescent="0.2">
      <c r="A22" t="s">
        <v>27</v>
      </c>
      <c r="B22" t="s">
        <v>46</v>
      </c>
    </row>
    <row r="29" spans="1:2" x14ac:dyDescent="0.2">
      <c r="A29" t="s">
        <v>28</v>
      </c>
      <c r="B29" t="s">
        <v>47</v>
      </c>
    </row>
    <row r="36" spans="1:2" x14ac:dyDescent="0.2">
      <c r="A36" t="s">
        <v>29</v>
      </c>
      <c r="B36" t="s">
        <v>48</v>
      </c>
    </row>
    <row r="43" spans="1:2" x14ac:dyDescent="0.2">
      <c r="B43" t="s">
        <v>49</v>
      </c>
    </row>
    <row r="50" spans="2:2" x14ac:dyDescent="0.2">
      <c r="B50" t="s">
        <v>50</v>
      </c>
    </row>
    <row r="57" spans="2:2" x14ac:dyDescent="0.2">
      <c r="B57" t="s">
        <v>51</v>
      </c>
    </row>
    <row r="64" spans="2:2" x14ac:dyDescent="0.2">
      <c r="B64" t="s">
        <v>52</v>
      </c>
    </row>
    <row r="71" spans="1:2" x14ac:dyDescent="0.2">
      <c r="B71" t="s">
        <v>53</v>
      </c>
    </row>
    <row r="74" spans="1:2" x14ac:dyDescent="0.2">
      <c r="A74" t="s">
        <v>30</v>
      </c>
    </row>
    <row r="78" spans="1:2" x14ac:dyDescent="0.2">
      <c r="B78" t="s">
        <v>54</v>
      </c>
    </row>
    <row r="81" spans="1:2" x14ac:dyDescent="0.2">
      <c r="A81" t="s">
        <v>31</v>
      </c>
    </row>
    <row r="85" spans="1:2" x14ac:dyDescent="0.2">
      <c r="B85" t="s">
        <v>55</v>
      </c>
    </row>
    <row r="88" spans="1:2" x14ac:dyDescent="0.2">
      <c r="A88" t="s">
        <v>32</v>
      </c>
    </row>
    <row r="92" spans="1:2" x14ac:dyDescent="0.2">
      <c r="B92" t="s">
        <v>56</v>
      </c>
    </row>
    <row r="95" spans="1:2" x14ac:dyDescent="0.2">
      <c r="A95" t="s">
        <v>33</v>
      </c>
    </row>
    <row r="99" spans="1:2" x14ac:dyDescent="0.2">
      <c r="B99" t="s">
        <v>57</v>
      </c>
    </row>
    <row r="102" spans="1:2" x14ac:dyDescent="0.2">
      <c r="A102" t="s">
        <v>34</v>
      </c>
    </row>
    <row r="109" spans="1:2" x14ac:dyDescent="0.2">
      <c r="A109" t="s">
        <v>35</v>
      </c>
    </row>
    <row r="116" spans="1:1" x14ac:dyDescent="0.2">
      <c r="A116" t="s">
        <v>36</v>
      </c>
    </row>
    <row r="123" spans="1:1" x14ac:dyDescent="0.2">
      <c r="A123" t="s">
        <v>37</v>
      </c>
    </row>
    <row r="130" spans="1:1" x14ac:dyDescent="0.2">
      <c r="A130" t="s">
        <v>38</v>
      </c>
    </row>
    <row r="134" spans="1:1" x14ac:dyDescent="0.2">
      <c r="A134" t="s">
        <v>39</v>
      </c>
    </row>
    <row r="142" spans="1:1" x14ac:dyDescent="0.2">
      <c r="A142" t="s">
        <v>40</v>
      </c>
    </row>
    <row r="150" spans="1:1" x14ac:dyDescent="0.2">
      <c r="A150" t="s">
        <v>41</v>
      </c>
    </row>
    <row r="171" spans="2:2" x14ac:dyDescent="0.2">
      <c r="B171" t="s">
        <v>38</v>
      </c>
    </row>
    <row r="175" spans="2:2" x14ac:dyDescent="0.2">
      <c r="B175" t="s">
        <v>58</v>
      </c>
    </row>
    <row r="201" spans="1:1" x14ac:dyDescent="0.2">
      <c r="A201" t="s">
        <v>42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showGridLines="0" tabSelected="1" workbookViewId="0">
      <selection activeCell="K26" sqref="K26"/>
    </sheetView>
  </sheetViews>
  <sheetFormatPr defaultRowHeight="12.75" x14ac:dyDescent="0.2"/>
  <cols>
    <col min="1" max="1" width="3.5703125" style="13" customWidth="1"/>
    <col min="2" max="2" width="41.42578125" style="13" bestFit="1" customWidth="1"/>
    <col min="3" max="3" width="45" style="13" bestFit="1" customWidth="1"/>
    <col min="4" max="6" width="19.85546875" style="13" customWidth="1"/>
    <col min="7" max="7" width="19.85546875" style="21" customWidth="1"/>
    <col min="8" max="8" width="19.85546875" style="13" customWidth="1"/>
    <col min="9" max="9" width="37.140625" style="13" customWidth="1"/>
    <col min="10" max="16384" width="9.140625" style="13"/>
  </cols>
  <sheetData>
    <row r="1" spans="1:10" ht="26.25" thickBot="1" x14ac:dyDescent="0.25">
      <c r="A1" s="38"/>
      <c r="B1" s="38"/>
      <c r="C1" s="39"/>
      <c r="D1" s="30" t="s">
        <v>110</v>
      </c>
      <c r="E1" s="31" t="s">
        <v>111</v>
      </c>
      <c r="F1" s="32" t="s">
        <v>112</v>
      </c>
      <c r="G1" s="33" t="s">
        <v>113</v>
      </c>
      <c r="H1" s="34" t="s">
        <v>62</v>
      </c>
      <c r="I1" s="35" t="s">
        <v>63</v>
      </c>
      <c r="J1" s="22"/>
    </row>
    <row r="2" spans="1:10" x14ac:dyDescent="0.2">
      <c r="A2" s="29" t="s">
        <v>114</v>
      </c>
      <c r="B2" s="40"/>
      <c r="C2" s="41"/>
      <c r="D2" s="42"/>
      <c r="E2" s="43"/>
      <c r="F2" s="44"/>
      <c r="G2" s="14"/>
      <c r="H2" s="73"/>
      <c r="I2" s="40"/>
    </row>
    <row r="3" spans="1:10" x14ac:dyDescent="0.2">
      <c r="A3" s="36"/>
      <c r="B3" s="36"/>
      <c r="C3" s="45" t="s">
        <v>72</v>
      </c>
      <c r="D3" s="46">
        <f>SUMIF(Table1[Art],"3030 Oppdragsinntekter avg.pl",Table1[Hittil i år - regnskap])+SUMIF(Table1[Art],"3130 Oppdragsinntekter avg.fritt",Table1[Hittil i år - regnskap])+SUMIF(Table1[Art],"3230 Oppdragsinntekter unntatt mva loven",Table1[Hittil i år - regnskap])</f>
        <v>0</v>
      </c>
      <c r="E3" s="47">
        <f>SUMIF(Table1[Art],"3030 Oppdragsinntekter avg.pl",Table1[Årsbudsjett])-SUMIF(Table1[Art],"3030 Oppdragsinntekter avg.pl",Table1[Hittil i år - budsjett])+SUMIF(Table1[Art],"3130 Oppdragsinntekter avg.fritt",Table1[Årsbudsjett])-SUMIF(Table1[Art],"3130 Oppdragsinntekter avg.fritt",Table1[Hittil i år - budsjett])+SUMIF(Table1[Art],"3230 Oppdragsinntekter unntatt mva loven",Table1[Årsbudsjett])-SUMIF(Table1[Art],"3230 Oppdragsinntekter unntatt mva loven",Table1[Hittil i år - budsjett])</f>
        <v>0</v>
      </c>
      <c r="F3" s="48">
        <f>D3+E3</f>
        <v>0</v>
      </c>
      <c r="G3" s="15"/>
      <c r="H3" s="74">
        <f>ROUND(F3+G3,-3)</f>
        <v>0</v>
      </c>
      <c r="I3" s="23"/>
    </row>
    <row r="4" spans="1:10" x14ac:dyDescent="0.2">
      <c r="A4" s="36"/>
      <c r="B4" s="36"/>
      <c r="C4" s="45" t="s">
        <v>100</v>
      </c>
      <c r="D4" s="46">
        <f>SUMIF(Table1[Art],"3243 Avregning oppdragspr. fra forrige år",Table1[Hittil i år - regnskap])</f>
        <v>0</v>
      </c>
      <c r="E4" s="49"/>
      <c r="F4" s="48">
        <f>D4+E4</f>
        <v>0</v>
      </c>
      <c r="G4" s="83"/>
      <c r="H4" s="74">
        <f t="shared" ref="H4:H6" si="0">ROUND(F4+G4,-3)</f>
        <v>0</v>
      </c>
      <c r="I4" s="87"/>
    </row>
    <row r="5" spans="1:10" x14ac:dyDescent="0.2">
      <c r="A5" s="36"/>
      <c r="B5" s="36"/>
      <c r="C5" s="45" t="s">
        <v>73</v>
      </c>
      <c r="D5" s="46">
        <f>SUMIF(Table1[Art],"3244 Avregning oppdragsprosjekter",Table1[Hittil i år - regnskap])+SUMIFS(Table1[Hittil i år - regnskap],Table1[Prosjektnavn:],"10000*",Table1[Art],"348? Avregning fra PA")</f>
        <v>0</v>
      </c>
      <c r="E5" s="47">
        <f>SUMIF(Table1[Art],"3244 Avregning oppdragsprosjekter",Table1[Årsbudsjett])-SUMIF(Table1[Art],"3244 Avregning oppdragsprosjekter",Table1[Hittil i år - budsjett])</f>
        <v>0</v>
      </c>
      <c r="F5" s="48">
        <f>D5+E5</f>
        <v>0</v>
      </c>
      <c r="G5" s="82">
        <f>-G3+G6</f>
        <v>0</v>
      </c>
      <c r="H5" s="74">
        <f t="shared" si="0"/>
        <v>0</v>
      </c>
      <c r="I5" s="23"/>
    </row>
    <row r="6" spans="1:10" ht="13.5" thickBot="1" x14ac:dyDescent="0.25">
      <c r="A6" s="36"/>
      <c r="B6" s="36"/>
      <c r="C6" s="50" t="s">
        <v>66</v>
      </c>
      <c r="D6" s="51">
        <f>SUM(D3:D5)</f>
        <v>0</v>
      </c>
      <c r="E6" s="52">
        <f>SUM(E3:E5)</f>
        <v>0</v>
      </c>
      <c r="F6" s="53">
        <f>SUM(F3:F5)</f>
        <v>0</v>
      </c>
      <c r="G6" s="16"/>
      <c r="H6" s="75">
        <f t="shared" si="0"/>
        <v>0</v>
      </c>
      <c r="I6" s="24"/>
    </row>
    <row r="7" spans="1:10" x14ac:dyDescent="0.2">
      <c r="A7" s="29" t="s">
        <v>115</v>
      </c>
      <c r="B7" s="40"/>
      <c r="C7" s="41"/>
      <c r="D7" s="41"/>
      <c r="E7" s="54"/>
      <c r="F7" s="40"/>
      <c r="G7" s="17"/>
      <c r="H7" s="76"/>
      <c r="I7" s="40"/>
    </row>
    <row r="8" spans="1:10" x14ac:dyDescent="0.2">
      <c r="A8" s="36"/>
      <c r="B8" s="36"/>
      <c r="C8" s="45" t="s">
        <v>64</v>
      </c>
      <c r="D8" s="46">
        <f>SUMIF(Table1[Art],"3400 Tilskudd fra NFR",Table1[Hittil i år - regnskap])</f>
        <v>0</v>
      </c>
      <c r="E8" s="47">
        <f>SUMIF(Table1[Art],"3400 Tilskudd fra NFR",Table1[Årsbudsjett])-SUMIF(Table1[Art],"3400 Tilskudd fra NFR",Table1[Hittil i år - budsjett])</f>
        <v>0</v>
      </c>
      <c r="F8" s="48">
        <f>D8+E8</f>
        <v>0</v>
      </c>
      <c r="G8" s="15"/>
      <c r="H8" s="74">
        <f>ROUND(F8+G8,-3)</f>
        <v>0</v>
      </c>
      <c r="I8" s="23"/>
    </row>
    <row r="9" spans="1:10" x14ac:dyDescent="0.2">
      <c r="A9" s="36"/>
      <c r="B9" s="36"/>
      <c r="C9" s="45" t="s">
        <v>97</v>
      </c>
      <c r="D9" s="46">
        <f>SUMIF(Table1[Art],"3403 Avregning NFR fra forrige år",Table1[Hittil i år - regnskap])</f>
        <v>0</v>
      </c>
      <c r="E9" s="49"/>
      <c r="F9" s="48">
        <f>D9+E9</f>
        <v>0</v>
      </c>
      <c r="G9" s="83"/>
      <c r="H9" s="74">
        <f t="shared" ref="H9:H12" si="1">ROUND(F9+G9,-3)</f>
        <v>0</v>
      </c>
      <c r="I9" s="87"/>
    </row>
    <row r="10" spans="1:10" x14ac:dyDescent="0.2">
      <c r="A10" s="36"/>
      <c r="B10" s="36"/>
      <c r="C10" s="45" t="s">
        <v>65</v>
      </c>
      <c r="D10" s="46">
        <f>SUMIF(Table1[Art],"3404 Avregning NFR",Table1[Hittil i år - regnskap])+SUMIFS(Table1[Hittil i år - regnskap],Table1[Prosjektnavn:],"19999*",Table1[Art],"348? Avregning fra PA")</f>
        <v>0</v>
      </c>
      <c r="E10" s="47">
        <f>SUMIF(Table1[Art],"3404 Avregning NFR",Table1[Årsbudsjett])-SUMIF(Table1[Art],"3404 Avregning NFR",Table1[Hittil i år - budsjett])</f>
        <v>0</v>
      </c>
      <c r="F10" s="48">
        <f>D10+E10</f>
        <v>0</v>
      </c>
      <c r="G10" s="82">
        <f>-G8+G11</f>
        <v>0</v>
      </c>
      <c r="H10" s="74">
        <f t="shared" si="1"/>
        <v>0</v>
      </c>
      <c r="I10" s="23"/>
    </row>
    <row r="11" spans="1:10" ht="13.5" thickBot="1" x14ac:dyDescent="0.25">
      <c r="A11" s="36"/>
      <c r="B11" s="36"/>
      <c r="C11" s="50" t="s">
        <v>66</v>
      </c>
      <c r="D11" s="51">
        <f>SUM(D8:D10)</f>
        <v>0</v>
      </c>
      <c r="E11" s="52">
        <f>SUM(E8:E10)</f>
        <v>0</v>
      </c>
      <c r="F11" s="53">
        <f>SUM(F8:F10)</f>
        <v>0</v>
      </c>
      <c r="G11" s="16"/>
      <c r="H11" s="75">
        <f t="shared" si="1"/>
        <v>0</v>
      </c>
      <c r="I11" s="24"/>
    </row>
    <row r="12" spans="1:10" x14ac:dyDescent="0.2">
      <c r="A12" s="36"/>
      <c r="B12" s="36"/>
      <c r="C12" s="55" t="s">
        <v>90</v>
      </c>
      <c r="D12" s="46">
        <f>SUMIF(Table1[Art],"8731 Bidrag fra NFR til koordinatormidler",Table1[Hittil i år - regnskap])</f>
        <v>0</v>
      </c>
      <c r="E12" s="47">
        <f>SUMIF(Table1[Art],"8731 Bidrag fra NFR til koordinatormidler",Table1[Årsbudsjett])-SUMIF(Table1[Art],"8731 Bidrag fra NFR til koordinatormidler",Table1[Hittil i år - budsjett])</f>
        <v>0</v>
      </c>
      <c r="F12" s="48">
        <f>D12+E12</f>
        <v>0</v>
      </c>
      <c r="G12" s="15"/>
      <c r="H12" s="74">
        <f t="shared" si="1"/>
        <v>0</v>
      </c>
      <c r="I12" s="23"/>
    </row>
    <row r="13" spans="1:10" x14ac:dyDescent="0.2">
      <c r="A13" s="29" t="s">
        <v>23</v>
      </c>
      <c r="B13" s="40"/>
      <c r="C13" s="41"/>
      <c r="D13" s="42"/>
      <c r="E13" s="43"/>
      <c r="F13" s="44"/>
      <c r="G13" s="14"/>
      <c r="H13" s="73"/>
      <c r="I13" s="40"/>
    </row>
    <row r="14" spans="1:10" x14ac:dyDescent="0.2">
      <c r="A14" s="36"/>
      <c r="B14" s="36"/>
      <c r="C14" s="45" t="s">
        <v>74</v>
      </c>
      <c r="D14" s="46">
        <f>D19+D23</f>
        <v>0</v>
      </c>
      <c r="E14" s="47">
        <f>E19+E23</f>
        <v>0</v>
      </c>
      <c r="F14" s="48">
        <f>F19+F23</f>
        <v>0</v>
      </c>
      <c r="G14" s="82">
        <f>G19+G23</f>
        <v>0</v>
      </c>
      <c r="H14" s="74">
        <f>H19+H23</f>
        <v>0</v>
      </c>
      <c r="I14" s="23"/>
    </row>
    <row r="15" spans="1:10" x14ac:dyDescent="0.2">
      <c r="A15" s="36"/>
      <c r="B15" s="36"/>
      <c r="C15" s="45" t="s">
        <v>101</v>
      </c>
      <c r="D15" s="46">
        <f>D20+D24</f>
        <v>0</v>
      </c>
      <c r="E15" s="49"/>
      <c r="F15" s="48">
        <f>F20+F24</f>
        <v>0</v>
      </c>
      <c r="G15" s="83"/>
      <c r="H15" s="74">
        <f>H20+H24</f>
        <v>0</v>
      </c>
      <c r="I15" s="87"/>
    </row>
    <row r="16" spans="1:10" x14ac:dyDescent="0.2">
      <c r="A16" s="36"/>
      <c r="B16" s="36"/>
      <c r="C16" s="45" t="s">
        <v>75</v>
      </c>
      <c r="D16" s="46">
        <f>D21+D25</f>
        <v>0</v>
      </c>
      <c r="E16" s="47">
        <f>E21+E25</f>
        <v>0</v>
      </c>
      <c r="F16" s="48">
        <f>F21+F25</f>
        <v>0</v>
      </c>
      <c r="G16" s="82">
        <f>G21+G25</f>
        <v>0</v>
      </c>
      <c r="H16" s="74">
        <f>H21+H25</f>
        <v>0</v>
      </c>
      <c r="I16" s="23"/>
    </row>
    <row r="17" spans="1:9" ht="13.5" thickBot="1" x14ac:dyDescent="0.25">
      <c r="A17" s="36"/>
      <c r="B17" s="36"/>
      <c r="C17" s="50" t="s">
        <v>66</v>
      </c>
      <c r="D17" s="51">
        <f>D22+D26</f>
        <v>0</v>
      </c>
      <c r="E17" s="52">
        <f>E22+E26</f>
        <v>0</v>
      </c>
      <c r="F17" s="53">
        <f>F22+F26</f>
        <v>0</v>
      </c>
      <c r="G17" s="84">
        <f>G22+G26</f>
        <v>0</v>
      </c>
      <c r="H17" s="75">
        <f>H22+H26</f>
        <v>0</v>
      </c>
      <c r="I17" s="24"/>
    </row>
    <row r="18" spans="1:9" x14ac:dyDescent="0.2">
      <c r="A18" s="88" t="s">
        <v>67</v>
      </c>
      <c r="B18" s="88"/>
      <c r="C18" s="89"/>
      <c r="D18" s="90"/>
      <c r="E18" s="91"/>
      <c r="F18" s="92"/>
      <c r="G18" s="93"/>
      <c r="H18" s="94"/>
      <c r="I18" s="95"/>
    </row>
    <row r="19" spans="1:9" x14ac:dyDescent="0.2">
      <c r="A19" s="36"/>
      <c r="B19" s="36" t="s">
        <v>116</v>
      </c>
      <c r="C19" s="56" t="s">
        <v>68</v>
      </c>
      <c r="D19" s="57">
        <f>SUMIF(Table1[Art],"3420 Tilskudd fra EU rammeprogram for forskning",Table1[Hittil i år - regnskap])</f>
        <v>0</v>
      </c>
      <c r="E19" s="58">
        <f>SUMIF(Table1[Art],"3420 Tilskudd fra EU rammeprogram for forskning",Table1[Årsbudsjett])-SUMIF(Table1[Art],"3420 Tilskudd fra EU rammeprogram for forskning",Table1[Hittil i år - budsjett])</f>
        <v>0</v>
      </c>
      <c r="F19" s="59">
        <f>D19+E19</f>
        <v>0</v>
      </c>
      <c r="G19" s="18"/>
      <c r="H19" s="77">
        <f>ROUND(F19+G19,-3)</f>
        <v>0</v>
      </c>
      <c r="I19" s="25"/>
    </row>
    <row r="20" spans="1:9" x14ac:dyDescent="0.2">
      <c r="A20" s="36"/>
      <c r="B20" s="36"/>
      <c r="C20" s="56" t="s">
        <v>98</v>
      </c>
      <c r="D20" s="57">
        <f>SUMIF(Table1[Art],"3423 Avregning av EU rammeprogram for forskning overført fra forrige år",Table1[Hittil i år - regnskap])</f>
        <v>0</v>
      </c>
      <c r="E20" s="60"/>
      <c r="F20" s="59">
        <f>D20+E20</f>
        <v>0</v>
      </c>
      <c r="G20" s="80"/>
      <c r="H20" s="77">
        <f t="shared" ref="H20:H22" si="2">ROUND(F20+G20,-3)</f>
        <v>0</v>
      </c>
      <c r="I20" s="86"/>
    </row>
    <row r="21" spans="1:9" x14ac:dyDescent="0.2">
      <c r="A21" s="36"/>
      <c r="B21" s="36"/>
      <c r="C21" s="56" t="s">
        <v>69</v>
      </c>
      <c r="D21" s="57">
        <f>SUMIF(Table1[Art],"3424 Avregning av EU rammeprogram for forskning",Table1[Hittil i år - regnskap])+SUMIFS(Table1[Hittil i år - regnskap],Table1[Prosjektnavn:],"639995*",Table1[Art],"348? Avregning fra PA")+SUMIFS(Table1[Hittil i år - regnskap],Table1[Prosjektnavn:],"639993*",Table1[Art],"348? Avregning fra PA")</f>
        <v>0</v>
      </c>
      <c r="E21" s="58">
        <f>SUMIF(Table1[Art],"3424 Avregning av EU rammeprogram for forskning",Table1[Årsbudsjett])-SUMIF(Table1[Art],"3424 Avregning av EU rammeprogram for forskning",Table1[Hittil i år - budsjett])</f>
        <v>0</v>
      </c>
      <c r="F21" s="59">
        <f>D21+E21</f>
        <v>0</v>
      </c>
      <c r="G21" s="81">
        <f>-G19+G22</f>
        <v>0</v>
      </c>
      <c r="H21" s="77">
        <f t="shared" si="2"/>
        <v>0</v>
      </c>
      <c r="I21" s="25"/>
    </row>
    <row r="22" spans="1:9" x14ac:dyDescent="0.2">
      <c r="A22" s="36"/>
      <c r="B22" s="36"/>
      <c r="C22" s="61" t="s">
        <v>66</v>
      </c>
      <c r="D22" s="62">
        <f>SUM(D19:D21)</f>
        <v>0</v>
      </c>
      <c r="E22" s="63">
        <f>SUM(E19:E21)</f>
        <v>0</v>
      </c>
      <c r="F22" s="64">
        <f>SUM(F19:F21)</f>
        <v>0</v>
      </c>
      <c r="G22" s="19"/>
      <c r="H22" s="78">
        <f t="shared" si="2"/>
        <v>0</v>
      </c>
      <c r="I22" s="26"/>
    </row>
    <row r="23" spans="1:9" x14ac:dyDescent="0.2">
      <c r="A23" s="36"/>
      <c r="B23" s="36" t="s">
        <v>117</v>
      </c>
      <c r="C23" s="56" t="s">
        <v>70</v>
      </c>
      <c r="D23" s="57">
        <f>SUMIF(Table1[Art],"3425 Tilskudd fra EU - Andre bidrag (undervisning og andre tilskudd)",Table1[Hittil i år - regnskap])</f>
        <v>0</v>
      </c>
      <c r="E23" s="58">
        <f>SUMIF(Table1[Art],"3425 Tilskudd fra EU - Andre bidrag (undervisning og andre tilskudd)",Table1[Årsbudsjett])-SUMIF(Table1[Art],"3425 Tilskudd fra EU - Andre bidrag (undervisning og andre tilskudd)",Table1[Hittil i år - budsjett])</f>
        <v>0</v>
      </c>
      <c r="F23" s="65">
        <f>D23+E23</f>
        <v>0</v>
      </c>
      <c r="G23" s="18"/>
      <c r="H23" s="77">
        <f>ROUND(F23+G23,-3)</f>
        <v>0</v>
      </c>
      <c r="I23" s="27"/>
    </row>
    <row r="24" spans="1:9" x14ac:dyDescent="0.2">
      <c r="A24" s="36"/>
      <c r="B24" s="36"/>
      <c r="C24" s="56" t="s">
        <v>99</v>
      </c>
      <c r="D24" s="57">
        <f>SUMIF(Table1[Art],"3428 Avregning av andre tilskudd fra EU fra forrige år",Table1[Hittil i år - regnskap])</f>
        <v>0</v>
      </c>
      <c r="E24" s="60"/>
      <c r="F24" s="65">
        <f>D24+E24</f>
        <v>0</v>
      </c>
      <c r="G24" s="80"/>
      <c r="H24" s="77">
        <f t="shared" ref="H24:H26" si="3">ROUND(F24+G24,-3)</f>
        <v>0</v>
      </c>
      <c r="I24" s="85"/>
    </row>
    <row r="25" spans="1:9" x14ac:dyDescent="0.2">
      <c r="A25" s="36"/>
      <c r="B25" s="36"/>
      <c r="C25" s="56" t="s">
        <v>71</v>
      </c>
      <c r="D25" s="57">
        <f>SUMIF(Table1[Art],"3429 Avregning av andre tilskudd fra EU",Table1[Hittil i år - regnskap])+SUMIFS(Table1[Hittil i år - regnskap],Table1[Prosjektnavn:],"639994*",Table1[Art],"348? Avregning fra PA")</f>
        <v>0</v>
      </c>
      <c r="E25" s="58">
        <f>SUMIF(Table1[Art],"3429 Avregning av andre tilskudd fra EU",Table1[Årsbudsjett])-SUMIF(Table1[Art],"3429 Avregning av andre tilskudd fra EU",Table1[Hittil i år - budsjett])</f>
        <v>0</v>
      </c>
      <c r="F25" s="65">
        <f>D25+E25</f>
        <v>0</v>
      </c>
      <c r="G25" s="81">
        <f>-G23+G26</f>
        <v>0</v>
      </c>
      <c r="H25" s="77">
        <f t="shared" si="3"/>
        <v>0</v>
      </c>
      <c r="I25" s="27"/>
    </row>
    <row r="26" spans="1:9" x14ac:dyDescent="0.2">
      <c r="A26" s="36"/>
      <c r="B26" s="36"/>
      <c r="C26" s="61" t="s">
        <v>66</v>
      </c>
      <c r="D26" s="62">
        <f>SUM(D23:D25)</f>
        <v>0</v>
      </c>
      <c r="E26" s="63">
        <f>SUM(E23:E25)</f>
        <v>0</v>
      </c>
      <c r="F26" s="64">
        <f>SUM(F23:F25)</f>
        <v>0</v>
      </c>
      <c r="G26" s="19"/>
      <c r="H26" s="78">
        <f t="shared" si="3"/>
        <v>0</v>
      </c>
      <c r="I26" s="26"/>
    </row>
    <row r="27" spans="1:9" x14ac:dyDescent="0.2">
      <c r="A27" s="29" t="s">
        <v>22</v>
      </c>
      <c r="B27" s="40"/>
      <c r="C27" s="41"/>
      <c r="D27" s="42"/>
      <c r="E27" s="43"/>
      <c r="F27" s="44"/>
      <c r="G27" s="14"/>
      <c r="H27" s="73"/>
      <c r="I27" s="40"/>
    </row>
    <row r="28" spans="1:9" x14ac:dyDescent="0.2">
      <c r="A28" s="36"/>
      <c r="B28" s="36"/>
      <c r="C28" s="45" t="s">
        <v>74</v>
      </c>
      <c r="D28" s="46">
        <f>D33+D38+D42+D46+D50+D54+D58+D62</f>
        <v>0</v>
      </c>
      <c r="E28" s="47">
        <f t="shared" ref="E28:H28" si="4">E33+E38+E42+E46+E50+E54+E58+E62</f>
        <v>0</v>
      </c>
      <c r="F28" s="48">
        <f t="shared" si="4"/>
        <v>0</v>
      </c>
      <c r="G28" s="82">
        <f t="shared" si="4"/>
        <v>0</v>
      </c>
      <c r="H28" s="74">
        <f t="shared" si="4"/>
        <v>0</v>
      </c>
      <c r="I28" s="23"/>
    </row>
    <row r="29" spans="1:9" x14ac:dyDescent="0.2">
      <c r="A29" s="36"/>
      <c r="B29" s="36"/>
      <c r="C29" s="45" t="s">
        <v>101</v>
      </c>
      <c r="D29" s="46">
        <f t="shared" ref="D29:H31" si="5">D34+D39+D43+D47+D51+D55+D59+D63</f>
        <v>0</v>
      </c>
      <c r="E29" s="49"/>
      <c r="F29" s="48">
        <f t="shared" si="5"/>
        <v>0</v>
      </c>
      <c r="G29" s="83"/>
      <c r="H29" s="74">
        <f t="shared" si="5"/>
        <v>0</v>
      </c>
      <c r="I29" s="87"/>
    </row>
    <row r="30" spans="1:9" x14ac:dyDescent="0.2">
      <c r="A30" s="36"/>
      <c r="B30" s="36"/>
      <c r="C30" s="45" t="s">
        <v>75</v>
      </c>
      <c r="D30" s="46">
        <f t="shared" si="5"/>
        <v>0</v>
      </c>
      <c r="E30" s="47">
        <f t="shared" si="5"/>
        <v>0</v>
      </c>
      <c r="F30" s="48">
        <f t="shared" si="5"/>
        <v>0</v>
      </c>
      <c r="G30" s="82">
        <f t="shared" si="5"/>
        <v>0</v>
      </c>
      <c r="H30" s="74">
        <f t="shared" si="5"/>
        <v>0</v>
      </c>
      <c r="I30" s="23"/>
    </row>
    <row r="31" spans="1:9" ht="13.5" thickBot="1" x14ac:dyDescent="0.25">
      <c r="A31" s="36"/>
      <c r="B31" s="36"/>
      <c r="C31" s="50" t="s">
        <v>66</v>
      </c>
      <c r="D31" s="51">
        <f t="shared" si="5"/>
        <v>0</v>
      </c>
      <c r="E31" s="52">
        <f t="shared" si="5"/>
        <v>0</v>
      </c>
      <c r="F31" s="53">
        <f t="shared" si="5"/>
        <v>0</v>
      </c>
      <c r="G31" s="84">
        <f t="shared" si="5"/>
        <v>0</v>
      </c>
      <c r="H31" s="75">
        <f t="shared" si="5"/>
        <v>0</v>
      </c>
      <c r="I31" s="24"/>
    </row>
    <row r="32" spans="1:9" x14ac:dyDescent="0.2">
      <c r="A32" s="88" t="s">
        <v>67</v>
      </c>
      <c r="B32" s="88"/>
      <c r="C32" s="89"/>
      <c r="D32" s="90"/>
      <c r="E32" s="91"/>
      <c r="F32" s="92"/>
      <c r="G32" s="93"/>
      <c r="H32" s="94"/>
      <c r="I32" s="95"/>
    </row>
    <row r="33" spans="1:9" x14ac:dyDescent="0.2">
      <c r="A33" s="36"/>
      <c r="B33" s="36" t="s">
        <v>119</v>
      </c>
      <c r="C33" s="56" t="s">
        <v>76</v>
      </c>
      <c r="D33" s="57">
        <f>SUMIF(Table1[Art],"3410 Tilskudd fra statlige etater",Table1[Hittil i år - regnskap])</f>
        <v>0</v>
      </c>
      <c r="E33" s="58">
        <f>SUMIF(Table1[Art],"3410 Tilskudd fra statlige etater",Table1[Årsbudsjett])-SUMIF(Table1[Art],"3410 Tilskudd fra statlige etater",Table1[Hittil i år - budsjett])</f>
        <v>0</v>
      </c>
      <c r="F33" s="59">
        <f>D33+E33</f>
        <v>0</v>
      </c>
      <c r="G33" s="18"/>
      <c r="H33" s="77">
        <f>ROUND(F33+G33,-3)</f>
        <v>0</v>
      </c>
      <c r="I33" s="25"/>
    </row>
    <row r="34" spans="1:9" x14ac:dyDescent="0.2">
      <c r="A34" s="36"/>
      <c r="B34" s="36"/>
      <c r="C34" s="56" t="s">
        <v>102</v>
      </c>
      <c r="D34" s="57">
        <f>SUMIF(Table1[Art],"3413 Avregning Statlige etater fra forrige år",Table1[Hittil i år - regnskap])</f>
        <v>0</v>
      </c>
      <c r="E34" s="60"/>
      <c r="F34" s="59">
        <f>D34+E34</f>
        <v>0</v>
      </c>
      <c r="G34" s="80"/>
      <c r="H34" s="77">
        <f t="shared" ref="H34:H37" si="6">ROUND(F34+G34,-3)</f>
        <v>0</v>
      </c>
      <c r="I34" s="86"/>
    </row>
    <row r="35" spans="1:9" x14ac:dyDescent="0.2">
      <c r="A35" s="36"/>
      <c r="B35" s="36"/>
      <c r="C35" s="56" t="s">
        <v>77</v>
      </c>
      <c r="D35" s="57">
        <f>SUMIF(Table1[Art],"3414 Avregning Statlige etater",Table1[Hittil i år - regnskap])+SUMIFS(Table1[Hittil i år - regnskap],Table1[Prosjektnavn:],"21999*",Table1[Art],"348? Avregning fra PA")</f>
        <v>0</v>
      </c>
      <c r="E35" s="58">
        <f>SUMIF(Table1[Art],"3414 Avregning Statlige etater",Table1[Årsbudsjett])-SUMIF(Table1[Art],"3414 Avregning Statlige etater",Table1[Hittil i år - budsjett])</f>
        <v>0</v>
      </c>
      <c r="F35" s="59">
        <f>D35+E35</f>
        <v>0</v>
      </c>
      <c r="G35" s="81">
        <f>-G33+G36</f>
        <v>0</v>
      </c>
      <c r="H35" s="77">
        <f t="shared" si="6"/>
        <v>0</v>
      </c>
      <c r="I35" s="25"/>
    </row>
    <row r="36" spans="1:9" x14ac:dyDescent="0.2">
      <c r="A36" s="36"/>
      <c r="B36" s="36"/>
      <c r="C36" s="61" t="s">
        <v>66</v>
      </c>
      <c r="D36" s="62">
        <f>SUM(D33:D35)</f>
        <v>0</v>
      </c>
      <c r="E36" s="63">
        <f>SUM(E33:E35)</f>
        <v>0</v>
      </c>
      <c r="F36" s="64">
        <f>SUM(F33:F35)</f>
        <v>0</v>
      </c>
      <c r="G36" s="19"/>
      <c r="H36" s="78">
        <f t="shared" si="6"/>
        <v>0</v>
      </c>
      <c r="I36" s="26"/>
    </row>
    <row r="37" spans="1:9" x14ac:dyDescent="0.2">
      <c r="A37" s="36"/>
      <c r="B37" s="36"/>
      <c r="C37" s="66" t="s">
        <v>89</v>
      </c>
      <c r="D37" s="57">
        <f>SUMIF(Table1[Art],"8732 Bidrag fra andre til tilskuddsforvaltning",Table1[Hittil i år - regnskap])</f>
        <v>0</v>
      </c>
      <c r="E37" s="58">
        <f>SUMIF(Table1[Art],"8732 Bidrag fra andre til tilskuddsforvaltning",Table1[Årsbudsjett])-SUMIF(Table1[Art],"8732 Bidrag fra andre til tilskuddsforvaltning",Table1[Hittil i år - budsjett])</f>
        <v>0</v>
      </c>
      <c r="F37" s="65">
        <f>D37+E37</f>
        <v>0</v>
      </c>
      <c r="G37" s="18"/>
      <c r="H37" s="77">
        <f t="shared" si="6"/>
        <v>0</v>
      </c>
      <c r="I37" s="27"/>
    </row>
    <row r="38" spans="1:9" x14ac:dyDescent="0.2">
      <c r="A38" s="36"/>
      <c r="B38" s="36" t="s">
        <v>78</v>
      </c>
      <c r="C38" s="56" t="s">
        <v>79</v>
      </c>
      <c r="D38" s="57">
        <f>SUMIF(Table1[Art],"3430 Tilskudd fra kommunale og fylkeskommunale etater",Table1[Hittil i år - regnskap])</f>
        <v>0</v>
      </c>
      <c r="E38" s="58">
        <f>SUMIF(Table1[Art],"3430 Tilskudd fra kommunale og fylkeskommunale etater",Table1[Årsbudsjett])-SUMIF(Table1[Art],"3430 Tilskudd fra kommunale og fylkeskommunale etater",Table1[Hittil i år - budsjett])</f>
        <v>0</v>
      </c>
      <c r="F38" s="65">
        <f>D38+E38</f>
        <v>0</v>
      </c>
      <c r="G38" s="18"/>
      <c r="H38" s="77">
        <f>ROUND(F38+G38,-3)</f>
        <v>0</v>
      </c>
      <c r="I38" s="27"/>
    </row>
    <row r="39" spans="1:9" x14ac:dyDescent="0.2">
      <c r="A39" s="36"/>
      <c r="B39" s="36" t="s">
        <v>118</v>
      </c>
      <c r="C39" s="56" t="s">
        <v>103</v>
      </c>
      <c r="D39" s="57">
        <f>SUMIF(Table1[Art],"3433 Avregning av tilskudd fra kommunale og fylkeskommunale etater fra forrige år",Table1[Hittil i år - regnskap])</f>
        <v>0</v>
      </c>
      <c r="E39" s="60"/>
      <c r="F39" s="65">
        <f>D39+E39</f>
        <v>0</v>
      </c>
      <c r="G39" s="80"/>
      <c r="H39" s="77">
        <f t="shared" ref="H39:H41" si="7">ROUND(F39+G39,-3)</f>
        <v>0</v>
      </c>
      <c r="I39" s="85"/>
    </row>
    <row r="40" spans="1:9" x14ac:dyDescent="0.2">
      <c r="A40" s="36"/>
      <c r="B40" s="36"/>
      <c r="C40" s="56" t="s">
        <v>80</v>
      </c>
      <c r="D40" s="57">
        <f>SUMIF(Table1[Art],"3434 Avregning av tilskudd fra kommunale og fylkeskommunale etater",Table1[Hittil i år - regnskap])+SUMIFS(Table1[Hittil i år - regnskap],Table1[Prosjektnavn:],"29999*",Table1[Art],"348? Avregning fra PA")</f>
        <v>0</v>
      </c>
      <c r="E40" s="58">
        <f>SUMIF(Table1[Art],"3434 Avregning av tilskudd fra kommunale og fylkeskommunale etater",Table1[Årsbudsjett])-SUMIF(Table1[Art],"3434 Avregning av tilskudd fra kommunale og fylkeskommunale etater",Table1[Hittil i år - budsjett])</f>
        <v>0</v>
      </c>
      <c r="F40" s="65">
        <f>D40+E40</f>
        <v>0</v>
      </c>
      <c r="G40" s="81">
        <f>-G38+G41</f>
        <v>0</v>
      </c>
      <c r="H40" s="77">
        <f t="shared" si="7"/>
        <v>0</v>
      </c>
      <c r="I40" s="27"/>
    </row>
    <row r="41" spans="1:9" x14ac:dyDescent="0.2">
      <c r="A41" s="36"/>
      <c r="B41" s="36"/>
      <c r="C41" s="61" t="s">
        <v>66</v>
      </c>
      <c r="D41" s="62">
        <f>SUM(D38:D40)</f>
        <v>0</v>
      </c>
      <c r="E41" s="63">
        <f>SUM(E38:E40)</f>
        <v>0</v>
      </c>
      <c r="F41" s="64">
        <f>SUM(F38:F40)</f>
        <v>0</v>
      </c>
      <c r="G41" s="19"/>
      <c r="H41" s="78">
        <f t="shared" si="7"/>
        <v>0</v>
      </c>
      <c r="I41" s="26"/>
    </row>
    <row r="42" spans="1:9" x14ac:dyDescent="0.2">
      <c r="A42" s="36"/>
      <c r="B42" s="36" t="s">
        <v>120</v>
      </c>
      <c r="C42" s="56" t="s">
        <v>121</v>
      </c>
      <c r="D42" s="57">
        <f>SUMIFS(Table1[Hittil i år - regnskap],Table1[Art],"3440 Tilskudd fra organisasjoner og stiftelser",Table1[Prosjektnavn:],"39999*")</f>
        <v>0</v>
      </c>
      <c r="E42" s="58">
        <f>SUMIFS(Table1[Årsbudsjett],Table1[Art],"3440 Tilskudd fra organisasjoner og stiftelser",Table1[Prosjektnavn:],"39999*")-SUMIFS(Table1[Hittil i år - budsjett],Table1[Art],"3440 Tilskudd fra organisasjoner og stiftelser",Table1[Prosjektnavn:],"39999*")</f>
        <v>0</v>
      </c>
      <c r="F42" s="65">
        <f>D42+E42</f>
        <v>0</v>
      </c>
      <c r="G42" s="18"/>
      <c r="H42" s="77">
        <f>ROUND(F42+G42,-3)</f>
        <v>0</v>
      </c>
      <c r="I42" s="27"/>
    </row>
    <row r="43" spans="1:9" x14ac:dyDescent="0.2">
      <c r="A43" s="36"/>
      <c r="B43" s="36"/>
      <c r="C43" s="56" t="s">
        <v>122</v>
      </c>
      <c r="D43" s="57">
        <f>SUMIFS(Table1[Hittil i år - regnskap],Table1[Art],"3443 Avregning av tilskudd fra organisasjoner og stiftelser fra forrige år",Table1[Prosjektnavn:],"39999*")</f>
        <v>0</v>
      </c>
      <c r="E43" s="60"/>
      <c r="F43" s="65">
        <f>D43+E43</f>
        <v>0</v>
      </c>
      <c r="G43" s="80"/>
      <c r="H43" s="77">
        <f t="shared" ref="H43:H45" si="8">ROUND(F43+G43,-3)</f>
        <v>0</v>
      </c>
      <c r="I43" s="85"/>
    </row>
    <row r="44" spans="1:9" x14ac:dyDescent="0.2">
      <c r="A44" s="36"/>
      <c r="B44" s="36"/>
      <c r="C44" s="56" t="s">
        <v>123</v>
      </c>
      <c r="D44" s="57">
        <f>SUMIFS(Table1[Hittil i år - regnskap],Table1[Art],"3444 Avregning av tilskudd fra organisasjoner og stiftelser",Table1[Prosjektnavn:],"39999*")+SUMIFS(Table1[Hittil i år - regnskap],Table1[Prosjektnavn:],"39999*",Table1[Art],"348? Avregning fra PA")</f>
        <v>0</v>
      </c>
      <c r="E44" s="58">
        <f>SUMIFS(Table1[Årsbudsjett],Table1[Art],"3444 Avregning av tilskudd fra organisasjoner og stiftelser",Table1[Prosjektnavn:],"39999*")-SUMIFS(Table1[Hittil i år - budsjett],Table1[Art],"3444 Avregning av tilskudd fra organisasjoner og stiftelser",Table1[Prosjektnavn:],"39999*")</f>
        <v>0</v>
      </c>
      <c r="F44" s="65">
        <f>D44+E44</f>
        <v>0</v>
      </c>
      <c r="G44" s="81">
        <f>-G42+G45</f>
        <v>0</v>
      </c>
      <c r="H44" s="77">
        <f t="shared" si="8"/>
        <v>0</v>
      </c>
      <c r="I44" s="27"/>
    </row>
    <row r="45" spans="1:9" x14ac:dyDescent="0.2">
      <c r="A45" s="36"/>
      <c r="B45" s="36"/>
      <c r="C45" s="61" t="s">
        <v>66</v>
      </c>
      <c r="D45" s="62">
        <f>SUM(D42:D44)</f>
        <v>0</v>
      </c>
      <c r="E45" s="63">
        <f>SUM(E42:E44)</f>
        <v>0</v>
      </c>
      <c r="F45" s="64">
        <f>SUM(F42:F44)</f>
        <v>0</v>
      </c>
      <c r="G45" s="19"/>
      <c r="H45" s="78">
        <f t="shared" si="8"/>
        <v>0</v>
      </c>
      <c r="I45" s="26"/>
    </row>
    <row r="46" spans="1:9" x14ac:dyDescent="0.2">
      <c r="A46" s="36"/>
      <c r="B46" s="36" t="s">
        <v>124</v>
      </c>
      <c r="C46" s="56" t="s">
        <v>121</v>
      </c>
      <c r="D46" s="57">
        <f>SUMIFS(Table1[Hittil i år - regnskap],Table1[Art],"3440 Tilskudd fra organisasjoner og stiftelser",Table1[Prosjektnavn:],"59999*")</f>
        <v>0</v>
      </c>
      <c r="E46" s="58">
        <f>SUMIFS(Table1[Årsbudsjett],Table1[Art],"3440 Tilskudd fra organisasjoner og stiftelser",Table1[Prosjektnavn:],"59999*")-SUMIFS(Table1[Hittil i år - budsjett],Table1[Art],"3440 Tilskudd fra organisasjoner og stiftelser",Table1[Prosjektnavn:],"59999*")</f>
        <v>0</v>
      </c>
      <c r="F46" s="65">
        <f>D46+E46</f>
        <v>0</v>
      </c>
      <c r="G46" s="18"/>
      <c r="H46" s="77">
        <f>ROUND(F46+G46,-3)</f>
        <v>0</v>
      </c>
      <c r="I46" s="27"/>
    </row>
    <row r="47" spans="1:9" x14ac:dyDescent="0.2">
      <c r="A47" s="36"/>
      <c r="B47" s="36"/>
      <c r="C47" s="56" t="s">
        <v>122</v>
      </c>
      <c r="D47" s="57">
        <f>SUMIFS(Table1[Hittil i år - regnskap],Table1[Art],"3443 Avregning av tilskudd fra organisasjoner og stiftelser fra forrige år",Table1[Prosjektnavn:],"59999*")</f>
        <v>0</v>
      </c>
      <c r="E47" s="60"/>
      <c r="F47" s="65">
        <f>D47+E47</f>
        <v>0</v>
      </c>
      <c r="G47" s="80"/>
      <c r="H47" s="77">
        <f t="shared" ref="H47:H49" si="9">ROUND(F47+G47,-3)</f>
        <v>0</v>
      </c>
      <c r="I47" s="85"/>
    </row>
    <row r="48" spans="1:9" x14ac:dyDescent="0.2">
      <c r="A48" s="36"/>
      <c r="B48" s="36"/>
      <c r="C48" s="56" t="s">
        <v>123</v>
      </c>
      <c r="D48" s="57">
        <f>SUMIFS(Table1[Hittil i år - regnskap],Table1[Art],"3444 Avregning av tilskudd fra organisasjoner og stiftelser",Table1[Prosjektnavn:],"59999*")+SUMIFS(Table1[Hittil i år - regnskap],Table1[Prosjektnavn:],"59999*",Table1[Art],"348? Avregning fra PA")</f>
        <v>0</v>
      </c>
      <c r="E48" s="58">
        <f>SUMIFS(Table1[Årsbudsjett],Table1[Art],"3444 Avregning av tilskudd fra organisasjoner og stiftelser",Table1[Prosjektnavn:],"59999*")-SUMIFS(Table1[Hittil i år - budsjett],Table1[Art],"3444 Avregning av tilskudd fra organisasjoner og stiftelser",Table1[Prosjektnavn:],"59999*")</f>
        <v>0</v>
      </c>
      <c r="F48" s="65">
        <f>D48+E48</f>
        <v>0</v>
      </c>
      <c r="G48" s="81">
        <f>-G46+G49</f>
        <v>0</v>
      </c>
      <c r="H48" s="77">
        <f t="shared" si="9"/>
        <v>0</v>
      </c>
      <c r="I48" s="27"/>
    </row>
    <row r="49" spans="1:9" x14ac:dyDescent="0.2">
      <c r="A49" s="36"/>
      <c r="B49" s="36"/>
      <c r="C49" s="61" t="s">
        <v>66</v>
      </c>
      <c r="D49" s="62">
        <f>SUM(D46:D48)</f>
        <v>0</v>
      </c>
      <c r="E49" s="63">
        <f>SUM(E46:E48)</f>
        <v>0</v>
      </c>
      <c r="F49" s="64">
        <f>SUM(F46:F48)</f>
        <v>0</v>
      </c>
      <c r="G49" s="19"/>
      <c r="H49" s="78">
        <f t="shared" si="9"/>
        <v>0</v>
      </c>
      <c r="I49" s="26"/>
    </row>
    <row r="50" spans="1:9" x14ac:dyDescent="0.2">
      <c r="A50" s="36"/>
      <c r="B50" s="36" t="s">
        <v>125</v>
      </c>
      <c r="C50" s="56" t="s">
        <v>81</v>
      </c>
      <c r="D50" s="57">
        <f>SUMIF(Table1[Art],"3460 Gaver som utløser gaveforsterkning",Table1[Hittil i år - regnskap])</f>
        <v>0</v>
      </c>
      <c r="E50" s="58">
        <f>SUMIF(Table1[Art],"3460 Gaver som utløser gaveforsterkning",Table1[Årsbudsjett])-SUMIF(Table1[Art],"3460 Gaver som utløser gaveforsterkning",Table1[Hittil i år - budsjett])</f>
        <v>0</v>
      </c>
      <c r="F50" s="65">
        <f>D50+E50</f>
        <v>0</v>
      </c>
      <c r="G50" s="18"/>
      <c r="H50" s="77">
        <f>ROUND(F50+G50,-3)</f>
        <v>0</v>
      </c>
      <c r="I50" s="27"/>
    </row>
    <row r="51" spans="1:9" x14ac:dyDescent="0.2">
      <c r="A51" s="36"/>
      <c r="B51" s="36"/>
      <c r="C51" s="56" t="s">
        <v>104</v>
      </c>
      <c r="D51" s="57">
        <f>SUMIF(Table1[Art],"3463 Avregning av gaver overført fra forrige år",Table1[Hittil i år - regnskap])</f>
        <v>0</v>
      </c>
      <c r="E51" s="60"/>
      <c r="F51" s="65">
        <f>D51+E51</f>
        <v>0</v>
      </c>
      <c r="G51" s="80"/>
      <c r="H51" s="77">
        <f t="shared" ref="H51:H53" si="10">ROUND(F51+G51,-3)</f>
        <v>0</v>
      </c>
      <c r="I51" s="85"/>
    </row>
    <row r="52" spans="1:9" x14ac:dyDescent="0.2">
      <c r="A52" s="36"/>
      <c r="B52" s="36"/>
      <c r="C52" s="56" t="s">
        <v>82</v>
      </c>
      <c r="D52" s="57">
        <f>SUMIF(Table1[Art],"3464 Avregning av gaver",Table1[Hittil i år - regnskap])+SUMIFS(Table1[Hittil i år - regnskap],Table1[Prosjektnavn:],"469995*",Table1[Art],"348? Avregning fra PA")+SUMIFS(Table1[Hittil i år - regnskap],Table1[Prosjektnavn:],"469993*",Table1[Art],"348? Avregning fra PA")</f>
        <v>0</v>
      </c>
      <c r="E52" s="58">
        <f>SUMIF(Table1[Art],"3464 Avregning av gaver",Table1[Årsbudsjett])-SUMIF(Table1[Art],"3464 Avregning av gaver",Table1[Hittil i år - budsjett])</f>
        <v>0</v>
      </c>
      <c r="F52" s="65">
        <f>D52+E52</f>
        <v>0</v>
      </c>
      <c r="G52" s="81">
        <f>-G50+G53</f>
        <v>0</v>
      </c>
      <c r="H52" s="77">
        <f t="shared" si="10"/>
        <v>0</v>
      </c>
      <c r="I52" s="27"/>
    </row>
    <row r="53" spans="1:9" x14ac:dyDescent="0.2">
      <c r="A53" s="36"/>
      <c r="B53" s="36"/>
      <c r="C53" s="61" t="s">
        <v>66</v>
      </c>
      <c r="D53" s="62">
        <f>SUM(D50:D52)</f>
        <v>0</v>
      </c>
      <c r="E53" s="63">
        <f>SUM(E50:E52)</f>
        <v>0</v>
      </c>
      <c r="F53" s="64">
        <f>SUM(F50:F52)</f>
        <v>0</v>
      </c>
      <c r="G53" s="19"/>
      <c r="H53" s="78">
        <f t="shared" si="10"/>
        <v>0</v>
      </c>
      <c r="I53" s="26"/>
    </row>
    <row r="54" spans="1:9" x14ac:dyDescent="0.2">
      <c r="A54" s="36"/>
      <c r="B54" s="36" t="s">
        <v>126</v>
      </c>
      <c r="C54" s="56" t="s">
        <v>83</v>
      </c>
      <c r="D54" s="57">
        <f>SUMIF(Table1[Art],"3465 Gaveforsterkning",Table1[Hittil i år - regnskap])</f>
        <v>0</v>
      </c>
      <c r="E54" s="58">
        <f>SUMIF(Table1[Art],"3465 Gaveforsterkning",Table1[Årsbudsjett])-SUMIF(Table1[Art],"3465 Gaveforsterkning",Table1[Hittil i år - budsjett])</f>
        <v>0</v>
      </c>
      <c r="F54" s="65">
        <f>D54+E54</f>
        <v>0</v>
      </c>
      <c r="G54" s="18"/>
      <c r="H54" s="77">
        <f>ROUND(F54+G54,-3)</f>
        <v>0</v>
      </c>
      <c r="I54" s="27"/>
    </row>
    <row r="55" spans="1:9" x14ac:dyDescent="0.2">
      <c r="A55" s="36"/>
      <c r="B55" s="36"/>
      <c r="C55" s="56" t="s">
        <v>105</v>
      </c>
      <c r="D55" s="57">
        <f>SUMIF(Table1[Art],"3468 Avregning av gaveforsterkning overført fra forrige år",Table1[Hittil i år - regnskap])</f>
        <v>0</v>
      </c>
      <c r="E55" s="60"/>
      <c r="F55" s="65">
        <f>D55+E55</f>
        <v>0</v>
      </c>
      <c r="G55" s="80"/>
      <c r="H55" s="77">
        <f t="shared" ref="H55:H57" si="11">ROUND(F55+G55,-3)</f>
        <v>0</v>
      </c>
      <c r="I55" s="85"/>
    </row>
    <row r="56" spans="1:9" x14ac:dyDescent="0.2">
      <c r="A56" s="36"/>
      <c r="B56" s="36"/>
      <c r="C56" s="56" t="s">
        <v>84</v>
      </c>
      <c r="D56" s="57">
        <f>SUMIF(Table1[Art],"3469 Avregning av gaveforsterkning",Table1[Hittil i år - regnskap])+SUMIFS(Table1[Hittil i år - regnskap],Table1[Prosjektnavn:],"469994*",Table1[Art],"348? Avregning fra PA")+SUMIFS(Table1[Hittil i år - regnskap],Table1[Prosjektnavn:],"460001*",Table1[Art],"348? Avregning fra PA")</f>
        <v>0</v>
      </c>
      <c r="E56" s="58">
        <f>SUMIF(Table1[Art],"3469 Avregning av gaveforsterkning",Table1[Årsbudsjett])-SUMIF(Table1[Art],"3469 Avregning av gaveforsterkning",Table1[Hittil i år - budsjett])</f>
        <v>0</v>
      </c>
      <c r="F56" s="65">
        <f>D56+E56</f>
        <v>0</v>
      </c>
      <c r="G56" s="81">
        <f>-G54+G57</f>
        <v>0</v>
      </c>
      <c r="H56" s="77">
        <f t="shared" si="11"/>
        <v>0</v>
      </c>
      <c r="I56" s="27"/>
    </row>
    <row r="57" spans="1:9" x14ac:dyDescent="0.2">
      <c r="A57" s="36"/>
      <c r="B57" s="36"/>
      <c r="C57" s="61" t="s">
        <v>66</v>
      </c>
      <c r="D57" s="62">
        <f>SUM(D54:D56)</f>
        <v>0</v>
      </c>
      <c r="E57" s="63">
        <f>SUM(E54:E56)</f>
        <v>0</v>
      </c>
      <c r="F57" s="64">
        <f>SUM(F54:F56)</f>
        <v>0</v>
      </c>
      <c r="G57" s="19"/>
      <c r="H57" s="78">
        <f t="shared" si="11"/>
        <v>0</v>
      </c>
      <c r="I57" s="26"/>
    </row>
    <row r="58" spans="1:9" x14ac:dyDescent="0.2">
      <c r="A58" s="36"/>
      <c r="B58" s="36" t="s">
        <v>127</v>
      </c>
      <c r="C58" s="56" t="s">
        <v>85</v>
      </c>
      <c r="D58" s="57">
        <f>SUMIF(Table1[Art],"3450 Tilskudd fra næringsliv/privat",Table1[Hittil i år - regnskap])</f>
        <v>0</v>
      </c>
      <c r="E58" s="58">
        <f>SUMIF(Table1[Art],"3450 Tilskudd fra næringsliv/privat",Table1[Årsbudsjett])-SUMIF(Table1[Art],"3450 Tilskudd fra næringsliv/privat",Table1[Hittil i år - budsjett])</f>
        <v>0</v>
      </c>
      <c r="F58" s="65">
        <f>D58+E58</f>
        <v>0</v>
      </c>
      <c r="G58" s="18"/>
      <c r="H58" s="77">
        <f>ROUND(F58+G58,-3)</f>
        <v>0</v>
      </c>
      <c r="I58" s="27"/>
    </row>
    <row r="59" spans="1:9" x14ac:dyDescent="0.2">
      <c r="A59" s="36"/>
      <c r="B59" s="36"/>
      <c r="C59" s="56" t="s">
        <v>106</v>
      </c>
      <c r="D59" s="57">
        <f>SUMIF(Table1[Art],"3453 Avregning tilskudd fra næringsliv/privat fra forrige år",Table1[Hittil i år - regnskap])</f>
        <v>0</v>
      </c>
      <c r="E59" s="60"/>
      <c r="F59" s="65">
        <f>D59+E59</f>
        <v>0</v>
      </c>
      <c r="G59" s="80"/>
      <c r="H59" s="77">
        <f t="shared" ref="H59:H61" si="12">ROUND(F59+G59,-3)</f>
        <v>0</v>
      </c>
      <c r="I59" s="85"/>
    </row>
    <row r="60" spans="1:9" x14ac:dyDescent="0.2">
      <c r="A60" s="36"/>
      <c r="B60" s="36"/>
      <c r="C60" s="56" t="s">
        <v>86</v>
      </c>
      <c r="D60" s="57">
        <f>SUMIF(Table1[Art],"3454 Avregning tilskudd fra næringsliv/privat",Table1[Hittil i år - regnskap])+SUMIFS(Table1[Hittil i år - regnskap],Table1[Prosjektnavn:],"49999*",Table1[Art],"348? Avregning fra PA")</f>
        <v>0</v>
      </c>
      <c r="E60" s="58">
        <f>SUMIF(Table1[Art],"3454 Avregning tilskudd fra næringsliv/privat",Table1[Årsbudsjett])-SUMIF(Table1[Art],"3454 Avregning tilskudd fra næringsliv/privat",Table1[Hittil i år - budsjett])</f>
        <v>0</v>
      </c>
      <c r="F60" s="65">
        <f>D60+E60</f>
        <v>0</v>
      </c>
      <c r="G60" s="81">
        <f>-G58+G61</f>
        <v>0</v>
      </c>
      <c r="H60" s="77">
        <f t="shared" si="12"/>
        <v>0</v>
      </c>
      <c r="I60" s="27"/>
    </row>
    <row r="61" spans="1:9" x14ac:dyDescent="0.2">
      <c r="A61" s="36"/>
      <c r="B61" s="36"/>
      <c r="C61" s="61" t="s">
        <v>66</v>
      </c>
      <c r="D61" s="62">
        <f>SUM(D58:D60)</f>
        <v>0</v>
      </c>
      <c r="E61" s="63">
        <f>SUM(E58:E60)</f>
        <v>0</v>
      </c>
      <c r="F61" s="64">
        <f>SUM(F58:F60)</f>
        <v>0</v>
      </c>
      <c r="G61" s="19"/>
      <c r="H61" s="78">
        <f t="shared" si="12"/>
        <v>0</v>
      </c>
      <c r="I61" s="26"/>
    </row>
    <row r="62" spans="1:9" x14ac:dyDescent="0.2">
      <c r="A62" s="36"/>
      <c r="B62" s="36" t="s">
        <v>128</v>
      </c>
      <c r="C62" s="56" t="s">
        <v>87</v>
      </c>
      <c r="D62" s="57">
        <f>SUMIF(Table1[Art],"3490 Tilskudd fra andre",Table1[Hittil i år - regnskap])</f>
        <v>0</v>
      </c>
      <c r="E62" s="58">
        <f>SUMIF(Table1[Art],"3490 Tilskudd fra andre",Table1[Årsbudsjett])-SUMIF(Table1[Art],"3490 Tilskudd fra andre",Table1[Hittil i år - budsjett])</f>
        <v>0</v>
      </c>
      <c r="F62" s="65">
        <f>D62+E62</f>
        <v>0</v>
      </c>
      <c r="G62" s="18"/>
      <c r="H62" s="77">
        <f>ROUND(F62+G62,-3)</f>
        <v>0</v>
      </c>
      <c r="I62" s="27"/>
    </row>
    <row r="63" spans="1:9" x14ac:dyDescent="0.2">
      <c r="A63" s="36"/>
      <c r="B63" s="36"/>
      <c r="C63" s="56" t="s">
        <v>107</v>
      </c>
      <c r="D63" s="57">
        <f>SUMIF(Table1[Art],"3493 Avregning av tilskudd fra andre fra forrige år",Table1[Hittil i år - regnskap])</f>
        <v>0</v>
      </c>
      <c r="E63" s="60"/>
      <c r="F63" s="65">
        <f>D63+E63</f>
        <v>0</v>
      </c>
      <c r="G63" s="80"/>
      <c r="H63" s="77">
        <f t="shared" ref="H63:H65" si="13">ROUND(F63+G63,-3)</f>
        <v>0</v>
      </c>
      <c r="I63" s="85"/>
    </row>
    <row r="64" spans="1:9" x14ac:dyDescent="0.2">
      <c r="A64" s="67"/>
      <c r="B64" s="67"/>
      <c r="C64" s="56" t="s">
        <v>88</v>
      </c>
      <c r="D64" s="57">
        <f>SUMIF(Table1[Art],"3494 Avregning av tilskudd fra andre",Table1[Hittil i år - regnskap])+SUMIFS(Table1[Hittil i år - regnskap],Table1[Prosjektnavn:],"69999*",Table1[Art],"348? Avregning fra PA")</f>
        <v>0</v>
      </c>
      <c r="E64" s="58">
        <f>SUMIF(Table1[Art],"3494 Avregning av tilskudd fra andre",Table1[Årsbudsjett])-SUMIF(Table1[Art],"3494 Avregning av tilskudd fra andre",Table1[Hittil i år - budsjett])</f>
        <v>0</v>
      </c>
      <c r="F64" s="65">
        <f>D64+E64</f>
        <v>0</v>
      </c>
      <c r="G64" s="81">
        <f>-G62+G65</f>
        <v>0</v>
      </c>
      <c r="H64" s="77">
        <f t="shared" si="13"/>
        <v>0</v>
      </c>
      <c r="I64" s="27"/>
    </row>
    <row r="65" spans="1:9" ht="13.5" thickBot="1" x14ac:dyDescent="0.25">
      <c r="A65" s="68"/>
      <c r="B65" s="68"/>
      <c r="C65" s="69" t="s">
        <v>66</v>
      </c>
      <c r="D65" s="70">
        <f>SUM(D62:D64)</f>
        <v>0</v>
      </c>
      <c r="E65" s="71">
        <f>SUM(E62:E64)</f>
        <v>0</v>
      </c>
      <c r="F65" s="72">
        <f>SUM(F62:F64)</f>
        <v>0</v>
      </c>
      <c r="G65" s="20"/>
      <c r="H65" s="79">
        <f t="shared" si="13"/>
        <v>0</v>
      </c>
      <c r="I65" s="28"/>
    </row>
    <row r="66" spans="1:9" x14ac:dyDescent="0.2">
      <c r="A66" s="37" t="s">
        <v>109</v>
      </c>
    </row>
    <row r="67" spans="1:9" x14ac:dyDescent="0.2">
      <c r="A67" s="37" t="s">
        <v>108</v>
      </c>
    </row>
  </sheetData>
  <sheetProtection password="E543" sheet="1" objects="1" scenarios="1" formatCells="0" insertColumns="0" insertRows="0" deleteColumns="0" deleteRows="0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showGridLines="0" workbookViewId="0">
      <selection activeCell="D46" sqref="D46"/>
    </sheetView>
  </sheetViews>
  <sheetFormatPr defaultRowHeight="12.75" x14ac:dyDescent="0.2"/>
  <cols>
    <col min="1" max="1" width="13.85546875" customWidth="1"/>
    <col min="2" max="2" width="18.28515625" customWidth="1"/>
    <col min="3" max="3" width="25" bestFit="1" customWidth="1"/>
    <col min="4" max="4" width="26.28515625" bestFit="1" customWidth="1"/>
  </cols>
  <sheetData>
    <row r="1" spans="1:4" x14ac:dyDescent="0.2">
      <c r="A1" s="11" t="s">
        <v>1</v>
      </c>
      <c r="B1" t="s">
        <v>91</v>
      </c>
    </row>
    <row r="2" spans="1:4" x14ac:dyDescent="0.2">
      <c r="A2" s="11" t="s">
        <v>2</v>
      </c>
      <c r="B2" t="s">
        <v>91</v>
      </c>
    </row>
    <row r="3" spans="1:4" x14ac:dyDescent="0.2">
      <c r="A3" s="11" t="s">
        <v>4</v>
      </c>
      <c r="B3" t="s">
        <v>91</v>
      </c>
    </row>
    <row r="4" spans="1:4" x14ac:dyDescent="0.2">
      <c r="A4" s="11" t="s">
        <v>10</v>
      </c>
      <c r="B4" t="s">
        <v>129</v>
      </c>
    </row>
    <row r="6" spans="1:4" x14ac:dyDescent="0.2">
      <c r="A6" s="11" t="s">
        <v>92</v>
      </c>
      <c r="B6" t="s">
        <v>95</v>
      </c>
      <c r="C6" t="s">
        <v>96</v>
      </c>
      <c r="D6" t="s">
        <v>94</v>
      </c>
    </row>
    <row r="7" spans="1:4" x14ac:dyDescent="0.2">
      <c r="A7" s="12" t="s">
        <v>93</v>
      </c>
      <c r="B7" s="10"/>
      <c r="C7" s="10"/>
      <c r="D7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36</vt:i4>
      </vt:variant>
    </vt:vector>
  </HeadingPairs>
  <TitlesOfParts>
    <vt:vector size="39" baseType="lpstr">
      <vt:lpstr>Grunndata (hent S11-detalj art)</vt:lpstr>
      <vt:lpstr>Revidert prognosemal</vt:lpstr>
      <vt:lpstr>Pivot (refresh for å hente tal)</vt:lpstr>
      <vt:lpstr>Auto_Open</vt:lpstr>
      <vt:lpstr>Macro1</vt:lpstr>
      <vt:lpstr>Macro10</vt:lpstr>
      <vt:lpstr>Macro11</vt:lpstr>
      <vt:lpstr>Macro12</vt:lpstr>
      <vt:lpstr>Macro13</vt:lpstr>
      <vt:lpstr>Macro14</vt:lpstr>
      <vt:lpstr>Macro15</vt:lpstr>
      <vt:lpstr>Macro16</vt:lpstr>
      <vt:lpstr>Macro17</vt:lpstr>
      <vt:lpstr>Macro18</vt:lpstr>
      <vt:lpstr>Macro19</vt:lpstr>
      <vt:lpstr>Macro2</vt:lpstr>
      <vt:lpstr>Macro20</vt:lpstr>
      <vt:lpstr>Macro21</vt:lpstr>
      <vt:lpstr>Macro22</vt:lpstr>
      <vt:lpstr>Macro23</vt:lpstr>
      <vt:lpstr>Macro24</vt:lpstr>
      <vt:lpstr>Macro25</vt:lpstr>
      <vt:lpstr>Macro26</vt:lpstr>
      <vt:lpstr>Macro27</vt:lpstr>
      <vt:lpstr>Macro28</vt:lpstr>
      <vt:lpstr>Macro29</vt:lpstr>
      <vt:lpstr>Macro3</vt:lpstr>
      <vt:lpstr>Macro30</vt:lpstr>
      <vt:lpstr>Macro31</vt:lpstr>
      <vt:lpstr>Macro32</vt:lpstr>
      <vt:lpstr>Macro33</vt:lpstr>
      <vt:lpstr>Macro34</vt:lpstr>
      <vt:lpstr>Macro4</vt:lpstr>
      <vt:lpstr>Macro5</vt:lpstr>
      <vt:lpstr>Macro6</vt:lpstr>
      <vt:lpstr>Macro7</vt:lpstr>
      <vt:lpstr>Macro8</vt:lpstr>
      <vt:lpstr>Macro9</vt:lpstr>
      <vt:lpstr>Recover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Malene Rødseth</dc:creator>
  <cp:lastModifiedBy>Malene Rødseth</cp:lastModifiedBy>
  <dcterms:created xsi:type="dcterms:W3CDTF">2015-05-06T13:30:57Z</dcterms:created>
  <dcterms:modified xsi:type="dcterms:W3CDTF">2015-05-07T09:23:35Z</dcterms:modified>
</cp:coreProperties>
</file>